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F-S1_2018\"/>
    </mc:Choice>
  </mc:AlternateContent>
  <workbookProtection workbookAlgorithmName="SHA-512" workbookHashValue="oJypChHE9VrhSbcn9Ljm3rjsBwCWtHF7z4O+gaC9b5JKYZyWE3YzjQ7db6yY/8Ck/r/F8GgUQqD82AKb0TMOAQ==" workbookSaltValue="zedIRAhL3rVJcoNXzE4vcw==" workbookSpinCount="100000" lockStructure="1"/>
  <bookViews>
    <workbookView xWindow="0" yWindow="0" windowWidth="28800" windowHeight="12435"/>
  </bookViews>
  <sheets>
    <sheet name="ΓΕΝΙΚΑ" sheetId="6" r:id="rId1"/>
    <sheet name="ΠΕΡΙΦΕΡΕΙΑ" sheetId="3" state="hidden" r:id="rId2"/>
    <sheet name="ΔΗΜΟΣ" sheetId="4" state="hidden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N11" i="16" s="1"/>
  <c r="C11" i="16" s="1"/>
  <c r="O10" i="16"/>
  <c r="O9" i="16"/>
  <c r="N9" i="16" s="1"/>
  <c r="C9" i="16" s="1"/>
  <c r="O8" i="16"/>
  <c r="N8" i="16" s="1"/>
  <c r="C8" i="16" s="1"/>
  <c r="O7" i="16"/>
  <c r="N7" i="16" s="1"/>
  <c r="C7" i="16" s="1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K19" i="12"/>
  <c r="S19" i="12" s="1"/>
  <c r="R19" i="12" s="1"/>
  <c r="C19" i="12" s="1"/>
  <c r="K20" i="12"/>
  <c r="S20" i="12" s="1"/>
  <c r="R20" i="12" s="1"/>
  <c r="C20" i="12" s="1"/>
  <c r="K21" i="12"/>
  <c r="K22" i="12"/>
  <c r="K23" i="12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4" i="16"/>
  <c r="C4" i="16" s="1"/>
  <c r="N10" i="16"/>
  <c r="C10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M8" i="14" s="1"/>
  <c r="L8" i="14" s="1"/>
  <c r="P6" i="9"/>
  <c r="O6" i="9" s="1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9" i="12"/>
  <c r="R29" i="12" s="1"/>
  <c r="C29" i="12" s="1"/>
  <c r="S26" i="12"/>
  <c r="R26" i="12" s="1"/>
  <c r="C26" i="12" s="1"/>
  <c r="S23" i="12"/>
  <c r="R23" i="12" s="1"/>
  <c r="C23" i="12" s="1"/>
  <c r="S22" i="12"/>
  <c r="R22" i="12" s="1"/>
  <c r="C22" i="12" s="1"/>
  <c r="S21" i="12"/>
  <c r="R21" i="12" s="1"/>
  <c r="C21" i="12" s="1"/>
  <c r="S18" i="12"/>
  <c r="R18" i="12" s="1"/>
  <c r="C18" i="12" s="1"/>
  <c r="S10" i="12"/>
  <c r="R10" i="12" s="1"/>
  <c r="C10" i="12" s="1"/>
  <c r="S5" i="12"/>
  <c r="R5" i="12" s="1"/>
  <c r="C5" i="12" s="1"/>
  <c r="S4" i="12"/>
  <c r="R4" i="12" s="1"/>
  <c r="C4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6" i="12"/>
  <c r="R6" i="12" s="1"/>
  <c r="C6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P5" i="9" l="1"/>
  <c r="O5" i="9" s="1"/>
  <c r="D15" i="3"/>
  <c r="S16" i="12"/>
  <c r="R16" i="12" s="1"/>
  <c r="C16" i="12" s="1"/>
  <c r="S12" i="12"/>
  <c r="R12" i="12" s="1"/>
  <c r="C12" i="12" s="1"/>
  <c r="J4" i="9"/>
  <c r="P4" i="9" s="1"/>
  <c r="O4" i="9" s="1"/>
  <c r="C18" i="6" s="1"/>
  <c r="S8" i="12"/>
  <c r="R8" i="12" s="1"/>
  <c r="C8" i="12" s="1"/>
  <c r="S14" i="12"/>
  <c r="R14" i="12" s="1"/>
  <c r="C14" i="12" s="1"/>
  <c r="S9" i="12"/>
  <c r="R9" i="12" s="1"/>
  <c r="C9" i="12" s="1"/>
  <c r="S4" i="17"/>
  <c r="R4" i="17" s="1"/>
  <c r="C4" i="17" s="1"/>
  <c r="S8" i="17"/>
  <c r="R8" i="17" s="1"/>
  <c r="C8" i="17" s="1"/>
  <c r="S3" i="12"/>
  <c r="R3" i="12" s="1"/>
  <c r="C3" i="12" s="1"/>
  <c r="S7" i="12"/>
  <c r="R7" i="12" s="1"/>
  <c r="C7" i="12" s="1"/>
  <c r="S15" i="12"/>
  <c r="R15" i="12" s="1"/>
  <c r="C15" i="12" s="1"/>
  <c r="S11" i="12"/>
  <c r="R11" i="12" s="1"/>
  <c r="C11" i="12" s="1"/>
  <c r="S13" i="12"/>
  <c r="R13" i="12" s="1"/>
  <c r="C13" i="12" s="1"/>
  <c r="S5" i="17"/>
  <c r="R5" i="17" s="1"/>
  <c r="C5" i="17" s="1"/>
  <c r="S6" i="17"/>
  <c r="R6" i="17" s="1"/>
  <c r="C6" i="17" s="1"/>
  <c r="S9" i="17"/>
  <c r="R9" i="17" s="1"/>
  <c r="C9" i="17" s="1"/>
  <c r="S10" i="17"/>
  <c r="R10" i="17" s="1"/>
  <c r="C10" i="17" s="1"/>
  <c r="S11" i="17"/>
  <c r="R11" i="17" s="1"/>
  <c r="C11" i="17" s="1"/>
  <c r="S14" i="17"/>
  <c r="R14" i="17" s="1"/>
  <c r="C14" i="17" s="1"/>
  <c r="S15" i="17"/>
  <c r="R15" i="17" s="1"/>
  <c r="C15" i="17" s="1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I325" i="4"/>
  <c r="L325" i="4" s="1"/>
  <c r="N325" i="4" s="1"/>
  <c r="I135" i="4"/>
  <c r="L135" i="4" s="1"/>
  <c r="N135" i="4" s="1"/>
  <c r="I274" i="4"/>
  <c r="L274" i="4" s="1"/>
  <c r="N274" i="4" s="1"/>
  <c r="I54" i="4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N277" i="4" s="1"/>
  <c r="I216" i="4"/>
  <c r="I200" i="4"/>
  <c r="I95" i="4"/>
  <c r="I44" i="4"/>
  <c r="I113" i="4"/>
  <c r="I169" i="4"/>
  <c r="I221" i="4"/>
  <c r="I21" i="4"/>
  <c r="I73" i="4"/>
  <c r="I134" i="4"/>
  <c r="I198" i="4"/>
  <c r="I250" i="4"/>
  <c r="K250" i="4" s="1"/>
  <c r="I42" i="4"/>
  <c r="I111" i="4"/>
  <c r="I167" i="4"/>
  <c r="K167" i="4" s="1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K74" i="4" s="1"/>
  <c r="I110" i="4"/>
  <c r="I137" i="4"/>
  <c r="I186" i="4"/>
  <c r="I281" i="4"/>
  <c r="I280" i="4"/>
  <c r="I128" i="4"/>
  <c r="I239" i="4"/>
  <c r="I22" i="4"/>
  <c r="I41" i="4"/>
  <c r="I76" i="4"/>
  <c r="I142" i="4"/>
  <c r="K325" i="4"/>
  <c r="J325" i="4" s="1"/>
  <c r="K274" i="4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74" i="4"/>
  <c r="K166" i="4"/>
  <c r="L166" i="4"/>
  <c r="L253" i="4"/>
  <c r="L76" i="4"/>
  <c r="K76" i="4"/>
  <c r="K54" i="4"/>
  <c r="L54" i="4"/>
  <c r="K186" i="4"/>
  <c r="L186" i="4"/>
  <c r="K142" i="4"/>
  <c r="L142" i="4"/>
  <c r="J274" i="4"/>
  <c r="L167" i="4"/>
  <c r="L73" i="4"/>
  <c r="K73" i="4"/>
  <c r="L169" i="4"/>
  <c r="K169" i="4"/>
  <c r="L250" i="4"/>
  <c r="K277" i="4"/>
  <c r="J277" i="4" s="1"/>
  <c r="C16" i="6"/>
  <c r="I102" i="4"/>
  <c r="I53" i="4"/>
  <c r="I6" i="4"/>
  <c r="I233" i="4"/>
  <c r="I189" i="4"/>
  <c r="I145" i="4"/>
  <c r="I105" i="4"/>
  <c r="I56" i="4"/>
  <c r="C4" i="15"/>
  <c r="C17" i="6"/>
  <c r="K41" i="4"/>
  <c r="L41" i="4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230" i="4" l="1"/>
  <c r="L143" i="4"/>
  <c r="C21" i="6"/>
  <c r="C19" i="6"/>
  <c r="L8" i="4"/>
  <c r="K4" i="4"/>
  <c r="L187" i="4"/>
  <c r="K2" i="4"/>
  <c r="J2" i="4" s="1"/>
  <c r="K103" i="4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N100" i="4" s="1"/>
  <c r="K100" i="4"/>
  <c r="L306" i="4"/>
  <c r="K306" i="4"/>
  <c r="K175" i="4"/>
  <c r="L175" i="4"/>
  <c r="L206" i="4"/>
  <c r="K206" i="4"/>
  <c r="K71" i="4"/>
  <c r="L71" i="4"/>
  <c r="L300" i="4"/>
  <c r="K300" i="4"/>
  <c r="L208" i="4"/>
  <c r="N208" i="4" s="1"/>
  <c r="K208" i="4"/>
  <c r="L27" i="4"/>
  <c r="K27" i="4"/>
  <c r="K42" i="4"/>
  <c r="L42" i="4"/>
  <c r="K113" i="4"/>
  <c r="L113" i="4"/>
  <c r="L216" i="4"/>
  <c r="N216" i="4" s="1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7" i="4"/>
  <c r="J187" i="4"/>
  <c r="N143" i="4"/>
  <c r="J143" i="4"/>
  <c r="N186" i="4"/>
  <c r="J186" i="4"/>
  <c r="N54" i="4"/>
  <c r="J54" i="4"/>
  <c r="N103" i="4"/>
  <c r="J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J8" i="4"/>
  <c r="N8" i="4"/>
  <c r="N76" i="4"/>
  <c r="J76" i="4"/>
  <c r="J314" i="4" l="1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H27" i="5"/>
  <c r="H43" i="5"/>
  <c r="H59" i="5"/>
  <c r="H75" i="5"/>
  <c r="H91" i="5"/>
  <c r="H107" i="5"/>
  <c r="H123" i="5"/>
  <c r="H139" i="5"/>
  <c r="H155" i="5"/>
  <c r="H171" i="5"/>
  <c r="H187" i="5"/>
  <c r="H203" i="5"/>
  <c r="H219" i="5"/>
  <c r="H235" i="5"/>
  <c r="H251" i="5"/>
  <c r="H267" i="5"/>
  <c r="H283" i="5"/>
  <c r="H299" i="5"/>
  <c r="H315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13" i="5"/>
  <c r="H29" i="5"/>
  <c r="H45" i="5"/>
  <c r="H61" i="5"/>
  <c r="H77" i="5"/>
  <c r="H93" i="5"/>
  <c r="H109" i="5"/>
  <c r="H125" i="5"/>
  <c r="H141" i="5"/>
  <c r="H157" i="5"/>
  <c r="H173" i="5"/>
  <c r="H189" i="5"/>
  <c r="H205" i="5"/>
  <c r="H221" i="5"/>
  <c r="H237" i="5"/>
  <c r="H253" i="5"/>
  <c r="H269" i="5"/>
  <c r="H285" i="5"/>
  <c r="H301" i="5"/>
  <c r="H317" i="5"/>
  <c r="H2" i="5"/>
  <c r="H26" i="5"/>
  <c r="H42" i="5"/>
  <c r="H58" i="5"/>
  <c r="H74" i="5"/>
  <c r="H90" i="5"/>
  <c r="H106" i="5"/>
  <c r="H122" i="5"/>
  <c r="H138" i="5"/>
  <c r="H154" i="5"/>
  <c r="H170" i="5"/>
  <c r="H186" i="5"/>
  <c r="H202" i="5"/>
  <c r="H218" i="5"/>
  <c r="H234" i="5"/>
  <c r="H250" i="5"/>
  <c r="H266" i="5"/>
  <c r="H282" i="5"/>
  <c r="H298" i="5"/>
  <c r="H314" i="5"/>
  <c r="H18" i="5"/>
  <c r="H15" i="5"/>
  <c r="H31" i="5"/>
  <c r="H47" i="5"/>
  <c r="H63" i="5"/>
  <c r="H79" i="5"/>
  <c r="H95" i="5"/>
  <c r="H111" i="5"/>
  <c r="H127" i="5"/>
  <c r="H143" i="5"/>
  <c r="J143" i="5" s="1"/>
  <c r="H159" i="5"/>
  <c r="H175" i="5"/>
  <c r="H191" i="5"/>
  <c r="H207" i="5"/>
  <c r="J207" i="5" s="1"/>
  <c r="H223" i="5"/>
  <c r="H239" i="5"/>
  <c r="H255" i="5"/>
  <c r="H271" i="5"/>
  <c r="J271" i="5" s="1"/>
  <c r="H287" i="5"/>
  <c r="H303" i="5"/>
  <c r="H319" i="5"/>
  <c r="H16" i="5"/>
  <c r="H32" i="5"/>
  <c r="H48" i="5"/>
  <c r="H64" i="5"/>
  <c r="H80" i="5"/>
  <c r="J80" i="5" s="1"/>
  <c r="H96" i="5"/>
  <c r="H112" i="5"/>
  <c r="H128" i="5"/>
  <c r="H144" i="5"/>
  <c r="J144" i="5" s="1"/>
  <c r="H160" i="5"/>
  <c r="H176" i="5"/>
  <c r="H192" i="5"/>
  <c r="H208" i="5"/>
  <c r="J208" i="5" s="1"/>
  <c r="H224" i="5"/>
  <c r="H240" i="5"/>
  <c r="H256" i="5"/>
  <c r="H272" i="5"/>
  <c r="H288" i="5"/>
  <c r="H304" i="5"/>
  <c r="H320" i="5"/>
  <c r="H17" i="5"/>
  <c r="J17" i="5" s="1"/>
  <c r="H33" i="5"/>
  <c r="H49" i="5"/>
  <c r="H65" i="5"/>
  <c r="H81" i="5"/>
  <c r="H97" i="5"/>
  <c r="H113" i="5"/>
  <c r="H129" i="5"/>
  <c r="H145" i="5"/>
  <c r="J145" i="5" s="1"/>
  <c r="H161" i="5"/>
  <c r="H177" i="5"/>
  <c r="H193" i="5"/>
  <c r="H209" i="5"/>
  <c r="H225" i="5"/>
  <c r="H241" i="5"/>
  <c r="H257" i="5"/>
  <c r="H273" i="5"/>
  <c r="J273" i="5" s="1"/>
  <c r="H289" i="5"/>
  <c r="H305" i="5"/>
  <c r="H321" i="5"/>
  <c r="H6" i="5"/>
  <c r="H30" i="5"/>
  <c r="H46" i="5"/>
  <c r="H62" i="5"/>
  <c r="H78" i="5"/>
  <c r="J78" i="5" s="1"/>
  <c r="H94" i="5"/>
  <c r="H110" i="5"/>
  <c r="H126" i="5"/>
  <c r="H142" i="5"/>
  <c r="J142" i="5" s="1"/>
  <c r="H158" i="5"/>
  <c r="H174" i="5"/>
  <c r="H190" i="5"/>
  <c r="H206" i="5"/>
  <c r="H222" i="5"/>
  <c r="H238" i="5"/>
  <c r="H254" i="5"/>
  <c r="H270" i="5"/>
  <c r="J270" i="5" s="1"/>
  <c r="H286" i="5"/>
  <c r="H302" i="5"/>
  <c r="H318" i="5"/>
  <c r="H3" i="5"/>
  <c r="J3" i="5" s="1"/>
  <c r="H19" i="5"/>
  <c r="H35" i="5"/>
  <c r="H51" i="5"/>
  <c r="H67" i="5"/>
  <c r="H83" i="5"/>
  <c r="H99" i="5"/>
  <c r="H115" i="5"/>
  <c r="H131" i="5"/>
  <c r="J131" i="5" s="1"/>
  <c r="H147" i="5"/>
  <c r="H163" i="5"/>
  <c r="H179" i="5"/>
  <c r="H195" i="5"/>
  <c r="H211" i="5"/>
  <c r="H227" i="5"/>
  <c r="H243" i="5"/>
  <c r="H259" i="5"/>
  <c r="J259" i="5" s="1"/>
  <c r="H275" i="5"/>
  <c r="H291" i="5"/>
  <c r="H307" i="5"/>
  <c r="H323" i="5"/>
  <c r="J323" i="5" s="1"/>
  <c r="H20" i="5"/>
  <c r="H36" i="5"/>
  <c r="H52" i="5"/>
  <c r="H68" i="5"/>
  <c r="H84" i="5"/>
  <c r="H100" i="5"/>
  <c r="H116" i="5"/>
  <c r="H132" i="5"/>
  <c r="J132" i="5" s="1"/>
  <c r="H148" i="5"/>
  <c r="H164" i="5"/>
  <c r="H180" i="5"/>
  <c r="H196" i="5"/>
  <c r="H212" i="5"/>
  <c r="H228" i="5"/>
  <c r="H244" i="5"/>
  <c r="H260" i="5"/>
  <c r="J260" i="5" s="1"/>
  <c r="H276" i="5"/>
  <c r="H292" i="5"/>
  <c r="H308" i="5"/>
  <c r="H324" i="5"/>
  <c r="J324" i="5" s="1"/>
  <c r="H21" i="5"/>
  <c r="H37" i="5"/>
  <c r="H53" i="5"/>
  <c r="H69" i="5"/>
  <c r="J69" i="5" s="1"/>
  <c r="H85" i="5"/>
  <c r="H101" i="5"/>
  <c r="H117" i="5"/>
  <c r="H133" i="5"/>
  <c r="H149" i="5"/>
  <c r="H165" i="5"/>
  <c r="H181" i="5"/>
  <c r="H197" i="5"/>
  <c r="J197" i="5" s="1"/>
  <c r="H213" i="5"/>
  <c r="H229" i="5"/>
  <c r="H245" i="5"/>
  <c r="H261" i="5"/>
  <c r="H277" i="5"/>
  <c r="H293" i="5"/>
  <c r="H309" i="5"/>
  <c r="H325" i="5"/>
  <c r="J325" i="5" s="1"/>
  <c r="H14" i="5"/>
  <c r="H34" i="5"/>
  <c r="H50" i="5"/>
  <c r="H66" i="5"/>
  <c r="J66" i="5" s="1"/>
  <c r="H82" i="5"/>
  <c r="H98" i="5"/>
  <c r="H114" i="5"/>
  <c r="H130" i="5"/>
  <c r="J130" i="5" s="1"/>
  <c r="H146" i="5"/>
  <c r="H162" i="5"/>
  <c r="H178" i="5"/>
  <c r="H194" i="5"/>
  <c r="J194" i="5" s="1"/>
  <c r="H210" i="5"/>
  <c r="H226" i="5"/>
  <c r="H242" i="5"/>
  <c r="H258" i="5"/>
  <c r="H274" i="5"/>
  <c r="H290" i="5"/>
  <c r="H306" i="5"/>
  <c r="H322" i="5"/>
  <c r="J322" i="5" s="1"/>
  <c r="H9" i="5"/>
  <c r="H7" i="5"/>
  <c r="H23" i="5"/>
  <c r="H39" i="5"/>
  <c r="J39" i="5" s="1"/>
  <c r="H55" i="5"/>
  <c r="H71" i="5"/>
  <c r="H87" i="5"/>
  <c r="H103" i="5"/>
  <c r="J103" i="5" s="1"/>
  <c r="H119" i="5"/>
  <c r="H135" i="5"/>
  <c r="H151" i="5"/>
  <c r="H167" i="5"/>
  <c r="J167" i="5" s="1"/>
  <c r="H183" i="5"/>
  <c r="H199" i="5"/>
  <c r="H215" i="5"/>
  <c r="H231" i="5"/>
  <c r="J231" i="5" s="1"/>
  <c r="H247" i="5"/>
  <c r="H263" i="5"/>
  <c r="H279" i="5"/>
  <c r="H295" i="5"/>
  <c r="J295" i="5" s="1"/>
  <c r="H311" i="5"/>
  <c r="H8" i="5"/>
  <c r="H24" i="5"/>
  <c r="H40" i="5"/>
  <c r="J40" i="5" s="1"/>
  <c r="H56" i="5"/>
  <c r="H72" i="5"/>
  <c r="H88" i="5"/>
  <c r="H104" i="5"/>
  <c r="H120" i="5"/>
  <c r="H136" i="5"/>
  <c r="H152" i="5"/>
  <c r="H168" i="5"/>
  <c r="J168" i="5" s="1"/>
  <c r="H184" i="5"/>
  <c r="H200" i="5"/>
  <c r="H216" i="5"/>
  <c r="H232" i="5"/>
  <c r="J232" i="5" s="1"/>
  <c r="H248" i="5"/>
  <c r="H264" i="5"/>
  <c r="H280" i="5"/>
  <c r="H296" i="5"/>
  <c r="J296" i="5" s="1"/>
  <c r="H312" i="5"/>
  <c r="H5" i="5"/>
  <c r="H25" i="5"/>
  <c r="H41" i="5"/>
  <c r="J41" i="5" s="1"/>
  <c r="H57" i="5"/>
  <c r="H73" i="5"/>
  <c r="H89" i="5"/>
  <c r="H105" i="5"/>
  <c r="J105" i="5" s="1"/>
  <c r="H121" i="5"/>
  <c r="H137" i="5"/>
  <c r="H153" i="5"/>
  <c r="H169" i="5"/>
  <c r="J169" i="5" s="1"/>
  <c r="H185" i="5"/>
  <c r="H201" i="5"/>
  <c r="H217" i="5"/>
  <c r="H233" i="5"/>
  <c r="J233" i="5" s="1"/>
  <c r="H249" i="5"/>
  <c r="H265" i="5"/>
  <c r="H281" i="5"/>
  <c r="H297" i="5"/>
  <c r="J297" i="5" s="1"/>
  <c r="H313" i="5"/>
  <c r="H4" i="5"/>
  <c r="H22" i="5"/>
  <c r="J22" i="5" s="1"/>
  <c r="H38" i="5"/>
  <c r="J38" i="5" s="1"/>
  <c r="H54" i="5"/>
  <c r="H70" i="5"/>
  <c r="H86" i="5"/>
  <c r="H102" i="5"/>
  <c r="H118" i="5"/>
  <c r="H134" i="5"/>
  <c r="H150" i="5"/>
  <c r="J150" i="5" s="1"/>
  <c r="H166" i="5"/>
  <c r="J166" i="5" s="1"/>
  <c r="H182" i="5"/>
  <c r="H198" i="5"/>
  <c r="H214" i="5"/>
  <c r="J214" i="5" s="1"/>
  <c r="H230" i="5"/>
  <c r="J230" i="5" s="1"/>
  <c r="H246" i="5"/>
  <c r="H262" i="5"/>
  <c r="H278" i="5"/>
  <c r="H294" i="5"/>
  <c r="J294" i="5" s="1"/>
  <c r="H310" i="5"/>
  <c r="J11" i="5"/>
  <c r="J2" i="5"/>
  <c r="J252" i="5"/>
  <c r="J124" i="5"/>
  <c r="J279" i="5"/>
  <c r="J316" i="5"/>
  <c r="J264" i="5"/>
  <c r="J291" i="5"/>
  <c r="J32" i="5"/>
  <c r="J243" i="5"/>
  <c r="J298" i="5"/>
  <c r="J184" i="5"/>
  <c r="J48" i="5"/>
  <c r="J218" i="5"/>
  <c r="J288" i="5"/>
  <c r="J160" i="5"/>
  <c r="J309" i="5"/>
  <c r="J213" i="5"/>
  <c r="J149" i="5"/>
  <c r="J21" i="5"/>
  <c r="J71" i="5"/>
  <c r="J108" i="5"/>
  <c r="J251" i="5"/>
  <c r="J281" i="5"/>
  <c r="J185" i="5"/>
  <c r="J121" i="5"/>
  <c r="J107" i="5"/>
  <c r="J43" i="5"/>
  <c r="J223" i="5"/>
  <c r="J308" i="5"/>
  <c r="J58" i="5"/>
  <c r="J248" i="5"/>
  <c r="J266" i="5"/>
  <c r="J84" i="5"/>
  <c r="J158" i="5"/>
  <c r="J220" i="5"/>
  <c r="J290" i="5"/>
  <c r="J64" i="5"/>
  <c r="J206" i="5"/>
  <c r="J275" i="5"/>
  <c r="J244" i="5"/>
  <c r="J20" i="5"/>
  <c r="J114" i="5"/>
  <c r="J178" i="5"/>
  <c r="J247" i="5"/>
  <c r="J146" i="5"/>
  <c r="J74" i="5"/>
  <c r="J151" i="5"/>
  <c r="J82" i="5"/>
  <c r="J212" i="5"/>
  <c r="J156" i="5"/>
  <c r="J90" i="5"/>
  <c r="J4" i="5"/>
  <c r="J282" i="5"/>
  <c r="J226" i="5"/>
  <c r="J190" i="5"/>
  <c r="J56" i="5"/>
  <c r="J310" i="5"/>
  <c r="J267" i="5"/>
  <c r="J224" i="5"/>
  <c r="J182" i="5"/>
  <c r="J139" i="5"/>
  <c r="J86" i="5"/>
  <c r="J293" i="5"/>
  <c r="J261" i="5"/>
  <c r="J229" i="5"/>
  <c r="J165" i="5"/>
  <c r="J133" i="5"/>
  <c r="J101" i="5"/>
  <c r="J37" i="5"/>
  <c r="J5" i="5"/>
  <c r="J87" i="5"/>
  <c r="J55" i="5"/>
  <c r="J23" i="5"/>
  <c r="J196" i="5"/>
  <c r="J140" i="5"/>
  <c r="J315" i="5"/>
  <c r="J272" i="5"/>
  <c r="J187" i="5"/>
  <c r="J94" i="5"/>
  <c r="J30" i="5"/>
  <c r="J265" i="5"/>
  <c r="J201" i="5"/>
  <c r="J137" i="5"/>
  <c r="J73" i="5"/>
  <c r="J9" i="5"/>
  <c r="J91" i="5"/>
  <c r="J59" i="5"/>
  <c r="J27" i="5"/>
  <c r="J250" i="5"/>
  <c r="J202" i="5"/>
  <c r="J100" i="5"/>
  <c r="J318" i="5"/>
  <c r="J302" i="5"/>
  <c r="J36" i="5"/>
  <c r="J116" i="5"/>
  <c r="J179" i="5"/>
  <c r="J242" i="5"/>
  <c r="J311" i="5"/>
  <c r="J162" i="5"/>
  <c r="J12" i="5"/>
  <c r="J203" i="5"/>
  <c r="J54" i="5"/>
  <c r="J245" i="5"/>
  <c r="J117" i="5"/>
  <c r="J53" i="5"/>
  <c r="J123" i="5"/>
  <c r="J313" i="5"/>
  <c r="J217" i="5"/>
  <c r="J89" i="5"/>
  <c r="J25" i="5"/>
  <c r="J75" i="5"/>
  <c r="J191" i="5"/>
  <c r="J307" i="5"/>
  <c r="J180" i="5"/>
  <c r="J280" i="5"/>
  <c r="J317" i="5"/>
  <c r="J238" i="5"/>
  <c r="J216" i="5"/>
  <c r="J92" i="5"/>
  <c r="J163" i="5"/>
  <c r="J320" i="5"/>
  <c r="J72" i="5"/>
  <c r="J148" i="5"/>
  <c r="J326" i="5"/>
  <c r="J210" i="5"/>
  <c r="J292" i="5"/>
  <c r="J28" i="5"/>
  <c r="J120" i="5"/>
  <c r="J188" i="5"/>
  <c r="J52" i="5"/>
  <c r="J314" i="5"/>
  <c r="J258" i="5"/>
  <c r="J136" i="5"/>
  <c r="J60" i="5"/>
  <c r="J312" i="5"/>
  <c r="J255" i="5"/>
  <c r="J199" i="5"/>
  <c r="J68" i="5"/>
  <c r="J268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119" i="5"/>
  <c r="J34" i="5"/>
  <c r="J299" i="5"/>
  <c r="J256" i="5"/>
  <c r="J171" i="5"/>
  <c r="J128" i="5"/>
  <c r="J70" i="5"/>
  <c r="J6" i="5"/>
  <c r="J285" i="5"/>
  <c r="J253" i="5"/>
  <c r="J221" i="5"/>
  <c r="J189" i="5"/>
  <c r="J157" i="5"/>
  <c r="J125" i="5"/>
  <c r="J93" i="5"/>
  <c r="J61" i="5"/>
  <c r="J29" i="5"/>
  <c r="J111" i="5"/>
  <c r="J79" i="5"/>
  <c r="J47" i="5"/>
  <c r="J15" i="5"/>
  <c r="J183" i="5"/>
  <c r="J126" i="5"/>
  <c r="J44" i="5"/>
  <c r="J304" i="5"/>
  <c r="J262" i="5"/>
  <c r="J219" i="5"/>
  <c r="J176" i="5"/>
  <c r="J134" i="5"/>
  <c r="J14" i="5"/>
  <c r="J289" i="5"/>
  <c r="J257" i="5"/>
  <c r="J225" i="5"/>
  <c r="J193" i="5"/>
  <c r="J161" i="5"/>
  <c r="J129" i="5"/>
  <c r="J97" i="5"/>
  <c r="J65" i="5"/>
  <c r="J33" i="5"/>
  <c r="J115" i="5"/>
  <c r="J83" i="5"/>
  <c r="J51" i="5"/>
  <c r="J19" i="5"/>
  <c r="J50" i="5"/>
  <c r="J321" i="5"/>
  <c r="J8" i="5"/>
  <c r="J195" i="5"/>
  <c r="J228" i="5"/>
  <c r="J174" i="5"/>
  <c r="J300" i="5"/>
  <c r="J122" i="5"/>
  <c r="J127" i="5"/>
  <c r="J254" i="5"/>
  <c r="J98" i="5"/>
  <c r="J246" i="5"/>
  <c r="J118" i="5"/>
  <c r="J277" i="5"/>
  <c r="J181" i="5"/>
  <c r="J85" i="5"/>
  <c r="J7" i="5"/>
  <c r="J24" i="5"/>
  <c r="J62" i="5"/>
  <c r="J249" i="5"/>
  <c r="J153" i="5"/>
  <c r="J57" i="5"/>
  <c r="J42" i="5"/>
  <c r="J135" i="5"/>
  <c r="J306" i="5"/>
  <c r="J186" i="5"/>
  <c r="J152" i="5"/>
  <c r="J215" i="5"/>
  <c r="J276" i="5"/>
  <c r="J16" i="5"/>
  <c r="J287" i="5"/>
  <c r="J138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104" i="5"/>
  <c r="J18" i="5"/>
  <c r="J284" i="5"/>
  <c r="J227" i="5"/>
  <c r="J170" i="5"/>
  <c r="J112" i="5"/>
  <c r="J26" i="5"/>
  <c r="J239" i="5"/>
  <c r="J204" i="5"/>
  <c r="J147" i="5"/>
  <c r="J76" i="5"/>
  <c r="J319" i="5"/>
  <c r="J278" i="5"/>
  <c r="J235" i="5"/>
  <c r="J192" i="5"/>
  <c r="J102" i="5"/>
  <c r="J301" i="5"/>
  <c r="J269" i="5"/>
  <c r="J237" i="5"/>
  <c r="J205" i="5"/>
  <c r="J173" i="5"/>
  <c r="J141" i="5"/>
  <c r="J109" i="5"/>
  <c r="J77" i="5"/>
  <c r="J45" i="5"/>
  <c r="J13" i="5"/>
  <c r="J95" i="5"/>
  <c r="J63" i="5"/>
  <c r="J31" i="5"/>
  <c r="J211" i="5"/>
  <c r="J154" i="5"/>
  <c r="J88" i="5"/>
  <c r="J283" i="5"/>
  <c r="J240" i="5"/>
  <c r="J198" i="5"/>
  <c r="J155" i="5"/>
  <c r="J110" i="5"/>
  <c r="J46" i="5"/>
  <c r="J305" i="5"/>
  <c r="J241" i="5"/>
  <c r="J209" i="5"/>
  <c r="J177" i="5"/>
  <c r="J113" i="5"/>
  <c r="J81" i="5"/>
  <c r="J49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E6" i="9" s="1"/>
  <c r="N7" i="5"/>
  <c r="O7" i="5"/>
  <c r="D6" i="9"/>
  <c r="D5" i="9"/>
  <c r="E4" i="9"/>
  <c r="E3" i="9"/>
  <c r="E5" i="9"/>
  <c r="D4" i="9"/>
  <c r="D3" i="9" l="1"/>
</calcChain>
</file>

<file path=xl/sharedStrings.xml><?xml version="1.0" encoding="utf-8"?>
<sst xmlns="http://schemas.openxmlformats.org/spreadsheetml/2006/main" count="3487" uniqueCount="890">
  <si>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</si>
  <si>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</si>
  <si>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</si>
  <si>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</si>
  <si>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</si>
  <si>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</si>
  <si>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</si>
  <si>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</si>
  <si>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</si>
  <si>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</si>
  <si>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</si>
  <si>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</si>
  <si>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</si>
  <si>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</si>
  <si>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</si>
  <si>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</si>
  <si>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</si>
  <si>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</si>
  <si>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</si>
  <si>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</si>
  <si>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</si>
  <si>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</si>
  <si>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</si>
  <si>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</si>
  <si>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</si>
  <si>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</si>
  <si>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</si>
  <si>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</si>
  <si>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</si>
  <si>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</si>
  <si>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</si>
  <si>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</si>
  <si>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</si>
  <si>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</si>
  <si>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</si>
  <si>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</si>
  <si>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</si>
  <si>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</si>
  <si>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</si>
  <si>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</si>
  <si>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</si>
  <si>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</si>
  <si>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</si>
  <si>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</si>
  <si>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</si>
  <si>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</si>
  <si>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</si>
  <si>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</si>
  <si>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</si>
  <si>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</si>
  <si>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</si>
  <si>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</si>
  <si>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</si>
  <si>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</si>
  <si>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</si>
  <si>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</si>
  <si>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</si>
  <si>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</si>
  <si>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</si>
  <si>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</si>
  <si>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</si>
  <si>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</si>
  <si>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</si>
  <si>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</si>
  <si>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</si>
  <si>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</si>
  <si>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</si>
  <si>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</si>
  <si>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</si>
  <si>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</si>
  <si>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</si>
  <si>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</si>
  <si>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</si>
  <si>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</si>
  <si>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</si>
  <si>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</si>
  <si>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</si>
  <si>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</si>
  <si>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</si>
  <si>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</si>
  <si>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</si>
  <si>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</si>
  <si>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</si>
  <si>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</si>
  <si>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</si>
  <si>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</si>
  <si>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</si>
  <si>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</si>
  <si>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</si>
  <si>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</si>
  <si>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</si>
  <si>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</si>
  <si>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</si>
  <si>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</si>
  <si>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</si>
  <si>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</si>
  <si>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</si>
  <si>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</si>
  <si>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</si>
  <si>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</si>
  <si>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</si>
  <si>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</si>
  <si>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</si>
  <si>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</si>
  <si>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</si>
  <si>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</si>
  <si>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</si>
  <si>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</si>
  <si>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</si>
  <si>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</si>
  <si>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</si>
  <si>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</si>
  <si>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</si>
  <si>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</si>
  <si>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</si>
  <si>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</si>
  <si>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</si>
  <si>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</si>
  <si>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</si>
  <si>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</si>
  <si>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</si>
  <si>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</si>
  <si>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</si>
  <si>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</si>
  <si>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</si>
  <si>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</si>
  <si>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</si>
  <si>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</si>
  <si>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</si>
  <si>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</si>
  <si>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</si>
  <si>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</si>
  <si>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</si>
  <si>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</si>
  <si>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</si>
  <si>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</si>
  <si>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</si>
  <si>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</si>
  <si>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</si>
  <si>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</si>
  <si>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</si>
  <si>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</si>
  <si>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</si>
  <si>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</si>
  <si>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</si>
  <si>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</si>
  <si>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</si>
  <si>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</si>
  <si>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</si>
  <si>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</si>
  <si>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</si>
  <si>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</si>
  <si>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</si>
  <si>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</si>
  <si>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</si>
  <si>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</si>
  <si>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</si>
  <si>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</si>
  <si>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</si>
  <si>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</si>
  <si>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</si>
  <si>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</si>
  <si>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</si>
  <si>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</si>
  <si>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</si>
  <si>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</si>
  <si>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</si>
  <si>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</si>
  <si>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</si>
  <si>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</si>
  <si>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</si>
  <si>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</si>
  <si>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</si>
  <si>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</si>
  <si>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</si>
  <si>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</si>
  <si>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</si>
  <si>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</si>
  <si>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</si>
  <si>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</si>
  <si>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</si>
  <si>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</si>
  <si>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</si>
  <si>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</si>
  <si>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</si>
  <si>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</si>
  <si>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</si>
  <si>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</si>
  <si>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</si>
  <si>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</si>
  <si>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</si>
  <si>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</si>
  <si>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</si>
  <si>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</si>
  <si>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</si>
  <si>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</si>
  <si>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</si>
  <si>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</si>
  <si>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</si>
  <si>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</si>
  <si>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</si>
  <si>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</si>
  <si>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</si>
  <si>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</si>
  <si>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</si>
  <si>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</si>
  <si>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</si>
  <si>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</si>
  <si>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</si>
  <si>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</si>
  <si>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</si>
  <si>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</si>
  <si>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</si>
  <si>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</si>
  <si>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</si>
  <si>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</si>
  <si>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</si>
  <si>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</si>
  <si>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</si>
  <si>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</si>
  <si>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</si>
  <si>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</si>
  <si>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</si>
  <si>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</si>
  <si>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</si>
  <si>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</si>
  <si>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</si>
  <si>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</si>
  <si>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</si>
  <si>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</si>
  <si>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</si>
  <si>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</si>
  <si>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</si>
  <si>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</si>
  <si>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</si>
  <si>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</si>
  <si>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</si>
  <si>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</si>
  <si>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</si>
  <si>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</si>
  <si>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</si>
  <si>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</si>
  <si>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</si>
  <si>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</si>
  <si>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</si>
  <si>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</si>
  <si>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</si>
  <si>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</si>
  <si>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</si>
  <si>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</si>
  <si>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</si>
  <si>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</si>
  <si>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</si>
  <si>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</si>
  <si>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</si>
  <si>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</si>
  <si>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</si>
  <si>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</si>
  <si>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</si>
  <si>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</si>
  <si>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</si>
  <si>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</si>
  <si>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</si>
  <si>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</si>
  <si>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</si>
  <si>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</si>
  <si>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</si>
  <si>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</si>
  <si>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</si>
  <si>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</si>
  <si>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</si>
  <si>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</si>
  <si>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</si>
  <si>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</si>
  <si>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</si>
  <si>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</si>
  <si>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</si>
  <si>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</si>
  <si>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</si>
  <si>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</si>
  <si>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</si>
  <si>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</si>
  <si>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</si>
  <si>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</si>
  <si>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</si>
  <si>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</si>
  <si>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</si>
  <si>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</si>
  <si>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</si>
  <si>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</si>
  <si>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</si>
  <si>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</si>
  <si>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</si>
  <si>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</si>
  <si>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</si>
  <si>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</si>
  <si>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</si>
  <si>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</si>
  <si>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</si>
  <si>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</si>
  <si>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</si>
  <si>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</si>
  <si>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</si>
  <si>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</si>
  <si>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</si>
  <si>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</si>
  <si>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</si>
  <si>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</si>
  <si>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</si>
  <si>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</si>
  <si>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</si>
  <si>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</si>
  <si>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</si>
  <si>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</si>
  <si>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</si>
  <si>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</si>
  <si>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</si>
  <si>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</si>
  <si>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</si>
  <si>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</si>
  <si>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</si>
  <si>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</si>
  <si>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</si>
  <si>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</si>
  <si>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</si>
  <si>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</si>
  <si>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</si>
  <si>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</si>
  <si>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</si>
  <si>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</si>
  <si>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</si>
  <si>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</si>
  <si>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</si>
  <si>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</si>
  <si>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</si>
  <si>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</si>
  <si>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</si>
  <si>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</si>
  <si>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</si>
  <si>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</si>
  <si>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</si>
  <si>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</si>
  <si>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</si>
  <si>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</si>
  <si>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</si>
  <si>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</si>
  <si>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</si>
  <si>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</si>
  <si>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</si>
  <si>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</si>
  <si>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</si>
  <si>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</si>
  <si>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</si>
  <si>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</si>
  <si>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</si>
  <si>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</si>
  <si>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</si>
  <si>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</si>
  <si>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</si>
  <si>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</si>
  <si>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</si>
  <si>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</si>
  <si>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</si>
  <si>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</si>
  <si>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</si>
  <si>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</si>
  <si>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</si>
  <si>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</si>
  <si>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</si>
  <si>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</si>
  <si>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</si>
  <si>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</si>
  <si>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</si>
  <si>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</si>
  <si>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</si>
  <si>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</si>
  <si>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</si>
  <si>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</si>
  <si>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</si>
  <si>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</si>
  <si>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</si>
  <si>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</si>
  <si>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</si>
  <si>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</si>
  <si>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</si>
  <si>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</si>
  <si>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</si>
  <si>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</si>
  <si>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</si>
  <si>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</si>
  <si>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</si>
  <si>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</si>
  <si>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</si>
  <si>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</si>
  <si>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</si>
  <si>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</si>
  <si>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</si>
  <si>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</si>
  <si>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</si>
  <si>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</si>
  <si>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</si>
  <si>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</si>
  <si>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</si>
  <si>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</si>
  <si>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</si>
  <si>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</si>
  <si>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</si>
  <si>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</si>
  <si>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</si>
  <si>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</si>
  <si>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</si>
  <si>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</si>
  <si>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</si>
  <si>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</si>
  <si>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</si>
  <si>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</si>
  <si>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</si>
  <si>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</si>
  <si>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</si>
  <si>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</si>
  <si>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</si>
  <si>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</si>
  <si>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</si>
  <si>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</si>
  <si>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</si>
  <si>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</si>
  <si>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</si>
  <si>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</si>
  <si>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</si>
  <si>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</si>
  <si>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</si>
  <si>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</si>
  <si>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</si>
  <si>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</si>
  <si>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</si>
  <si>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</si>
  <si>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</si>
  <si>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</si>
  <si>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</si>
  <si>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</si>
  <si>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</si>
  <si>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</si>
  <si>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</si>
  <si>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</si>
  <si>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</si>
  <si>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</si>
  <si>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</si>
  <si>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</si>
  <si>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</si>
  <si>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</si>
  <si>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</si>
  <si>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</si>
  <si>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</si>
  <si>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</si>
  <si>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</si>
  <si>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</si>
  <si>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</si>
  <si>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</si>
  <si>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</si>
  <si>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</si>
  <si>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</si>
  <si>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</si>
  <si>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</si>
  <si>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</si>
  <si>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</si>
  <si>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</si>
  <si>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</si>
  <si>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</si>
  <si>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</si>
  <si>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</si>
  <si>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</si>
  <si>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</si>
  <si>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</si>
  <si>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</si>
  <si>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</si>
  <si>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</si>
  <si>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</si>
  <si>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</si>
  <si>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</si>
  <si>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</si>
  <si>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</si>
  <si>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</si>
  <si>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</si>
  <si>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</si>
  <si>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</si>
  <si>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</si>
  <si>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</si>
  <si>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</si>
  <si>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</si>
  <si>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</si>
  <si>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</si>
  <si>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</si>
  <si>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</si>
  <si>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</si>
  <si>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</si>
  <si>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</si>
  <si>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</si>
  <si>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</si>
  <si>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</si>
  <si>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</si>
  <si>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</si>
  <si>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</si>
  <si>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</si>
  <si>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</si>
  <si>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</si>
  <si>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</si>
  <si>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</si>
  <si>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</si>
  <si>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</si>
  <si>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</si>
  <si>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</si>
  <si>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</si>
  <si>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</si>
  <si>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</si>
  <si>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</si>
  <si>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</si>
  <si>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</si>
  <si>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</si>
  <si>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</si>
  <si>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</si>
  <si>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</si>
  <si>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</si>
  <si>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</si>
  <si>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</si>
  <si>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</si>
  <si>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</si>
  <si>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</si>
  <si>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</si>
  <si>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</si>
  <si>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</si>
  <si>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</si>
  <si>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</si>
  <si>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</si>
  <si>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</si>
  <si>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</si>
  <si>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</si>
  <si>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</si>
  <si>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</si>
  <si>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</si>
  <si>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</si>
  <si>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</si>
  <si>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</si>
  <si>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</si>
  <si>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</si>
  <si>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</si>
  <si>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</si>
  <si>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</si>
  <si>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</si>
  <si>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</si>
  <si>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</si>
  <si>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</si>
  <si>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</si>
  <si>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</si>
  <si>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</si>
  <si>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</si>
  <si>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</si>
  <si>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</si>
  <si>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</si>
  <si>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</si>
  <si>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</si>
  <si>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</si>
  <si>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</si>
  <si>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</si>
  <si>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</si>
  <si>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</si>
  <si>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</si>
  <si>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</si>
  <si>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</si>
  <si>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</si>
  <si>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</si>
  <si>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</si>
  <si>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</si>
  <si>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</si>
  <si>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</si>
  <si>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</si>
  <si>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</si>
  <si>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</si>
  <si>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</si>
  <si>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</si>
  <si>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</si>
  <si>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</si>
  <si>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</si>
  <si>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</si>
  <si>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</si>
  <si>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</si>
  <si>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</si>
  <si>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</si>
  <si>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</si>
  <si>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</si>
  <si>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</si>
  <si>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</si>
  <si>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</si>
  <si>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</si>
  <si>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</si>
  <si>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</si>
  <si>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</si>
  <si>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</si>
  <si>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</si>
  <si>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</si>
  <si>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</si>
  <si>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</si>
  <si>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</si>
  <si>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</si>
  <si>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</si>
  <si>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</si>
  <si>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</si>
  <si>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</si>
  <si>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</si>
  <si>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</si>
  <si>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</si>
  <si>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</si>
  <si>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</si>
  <si>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</si>
  <si>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</si>
  <si>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</si>
  <si>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</si>
  <si>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</si>
  <si>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</si>
  <si>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</si>
  <si>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</si>
  <si>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</si>
  <si>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</si>
  <si>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</si>
  <si>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</si>
  <si>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</si>
  <si>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</si>
  <si>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</si>
  <si>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</si>
  <si>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</si>
  <si>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</si>
  <si>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</si>
  <si>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</si>
  <si>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</si>
  <si>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</si>
  <si>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</si>
  <si>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</si>
  <si>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</si>
  <si>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</si>
  <si>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</si>
  <si>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</si>
  <si>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</si>
  <si>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</si>
  <si>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</si>
  <si>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</si>
  <si>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</si>
  <si>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</si>
  <si>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</si>
  <si>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</si>
  <si>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</si>
  <si>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</si>
  <si>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</si>
  <si>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</si>
  <si>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</si>
  <si>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</si>
  <si>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</si>
  <si>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</si>
  <si>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</si>
  <si>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</si>
  <si>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</si>
  <si>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</si>
  <si>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</si>
  <si>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</si>
  <si>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</si>
  <si>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</si>
  <si>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</si>
  <si>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</si>
  <si>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</si>
  <si>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</si>
  <si>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</si>
  <si>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</si>
  <si>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</si>
  <si>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</si>
  <si>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</si>
  <si>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</si>
  <si>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</si>
  <si>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</si>
  <si>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</si>
  <si>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</si>
  <si>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</si>
  <si>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</si>
  <si>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</si>
  <si>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</si>
  <si>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</si>
  <si>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</si>
  <si>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</si>
  <si>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</si>
  <si>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</si>
  <si>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</si>
  <si>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</si>
  <si>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</si>
  <si>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</si>
  <si>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</si>
  <si>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</si>
  <si>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</si>
  <si>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</si>
  <si>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</si>
  <si>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</si>
  <si>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</si>
  <si>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</si>
  <si>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</si>
  <si>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</si>
  <si>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</si>
  <si>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</si>
  <si>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</si>
  <si>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</si>
  <si>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</si>
  <si>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</si>
  <si>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</si>
  <si>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</si>
  <si>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</si>
  <si>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</si>
  <si>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</si>
  <si>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</si>
  <si>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</si>
  <si>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</si>
  <si>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</si>
  <si>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</si>
  <si>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</si>
  <si>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</si>
  <si>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</si>
  <si>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</si>
  <si>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</si>
  <si>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</si>
  <si>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</si>
  <si>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</si>
  <si>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</si>
  <si>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</si>
  <si>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</si>
  <si>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</si>
  <si>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</si>
  <si>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</si>
  <si>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</si>
  <si>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</si>
  <si>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</si>
  <si>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</si>
  <si>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</si>
  <si>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</si>
  <si>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</si>
  <si>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</si>
  <si>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</si>
  <si>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</si>
  <si>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</si>
  <si>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</si>
  <si>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</si>
  <si>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</si>
  <si>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</si>
  <si>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</si>
  <si>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</si>
  <si>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</si>
  <si>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</si>
  <si>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</si>
  <si>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</si>
  <si>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</si>
  <si>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</si>
  <si>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</si>
  <si>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</si>
  <si>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</si>
  <si>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</si>
  <si>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</si>
  <si>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</si>
  <si>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</si>
  <si>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</si>
  <si>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</si>
  <si>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</si>
  <si>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</si>
  <si>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</si>
  <si>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</si>
  <si>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</si>
  <si>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</si>
  <si>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</si>
  <si>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</si>
  <si>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</si>
  <si>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</si>
  <si>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</si>
  <si>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</si>
  <si>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</si>
  <si>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</si>
  <si>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</si>
  <si>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</si>
  <si>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</si>
  <si>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</si>
  <si>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</si>
  <si>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</si>
  <si>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</si>
  <si>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</si>
  <si>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</si>
  <si>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</si>
  <si>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</si>
  <si>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</si>
  <si>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</si>
  <si>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</si>
  <si>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</si>
  <si>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</si>
  <si>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</si>
  <si>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</si>
  <si>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</si>
  <si>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</si>
  <si>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</si>
  <si>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</si>
  <si>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</si>
  <si>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</si>
  <si>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</si>
  <si>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</si>
  <si>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</si>
  <si>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</si>
  <si>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</si>
  <si>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</si>
  <si>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</si>
  <si>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</si>
  <si>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</si>
  <si>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</si>
  <si>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</si>
  <si>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</si>
  <si>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</si>
  <si>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</si>
  <si>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</si>
  <si>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</si>
  <si>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</si>
  <si>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</si>
  <si>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</si>
  <si>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</si>
  <si>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</si>
  <si>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</si>
  <si>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</si>
  <si>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</si>
  <si>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</si>
  <si>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</si>
  <si>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</si>
  <si>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</si>
  <si>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</si>
  <si>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</si>
  <si>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</si>
  <si>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</si>
  <si>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</si>
  <si>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</si>
  <si>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</si>
  <si>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</si>
  <si>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</si>
  <si>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</si>
  <si>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</si>
  <si>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</si>
  <si>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</si>
  <si>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</si>
  <si>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</si>
  <si>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</si>
  <si>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</si>
  <si>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</si>
  <si>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</si>
  <si>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</si>
  <si>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</si>
  <si>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</si>
  <si>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</si>
  <si>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</si>
  <si>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</si>
  <si>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</si>
  <si>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</si>
  <si>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</si>
  <si>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</si>
  <si>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</si>
  <si>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</si>
  <si>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</si>
  <si>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</si>
  <si>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</si>
  <si>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</si>
  <si>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</si>
  <si>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</si>
  <si>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</si>
  <si>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</si>
  <si>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</si>
  <si>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</si>
  <si>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</si>
  <si>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</si>
  <si>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</si>
  <si>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</si>
  <si>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</si>
  <si>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</si>
  <si>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</si>
  <si>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</si>
  <si>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t>
  </si>
  <si>
    <t>Μέσω Καταστημάτων :
Δευτέρα - Σάββατο : Ώρες λειτουργίας καταστημάτων 
Μέσω τηλεφώνου 13888 : Δευτέρα - Κυριακή: 08:00 - 23:00 (εκτός επίσημων αργιών)</t>
  </si>
  <si>
    <t>Μισή εργάσιμη ημέρα</t>
  </si>
  <si>
    <t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t>
  </si>
  <si>
    <t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t>
  </si>
  <si>
    <t>ΕΤΗΣΙΟΣ ΔΕΙΚΤΗΣ</t>
  </si>
  <si>
    <t>ΑΤΤΙΚΗΣ - ΑΘΗΝΑΙΩΝ</t>
  </si>
  <si>
    <t>ΑΤΤΙΚΗΣ - ΑΜΑΡΟΥΣΙΟΥ</t>
  </si>
  <si>
    <t>ΚΕΝΤΡΙΚΗΣ ΜΑΚΕΔΟΝΙΑΣ - ΒΙΣΑΛΤΙΑΣ</t>
  </si>
  <si>
    <t>ΗΠΕΙΡΟΥ - ΙΩΑΝΝΙΤΩΝ</t>
  </si>
  <si>
    <t>ΝΟΤΙΟΥ ΑΙΓΑΙΟΥ - ΘΗΡΑΣ</t>
  </si>
  <si>
    <t>ΣΤΕΡΕΑΣ ΕΛΛΑΔΑΣ - ΛΟΚΡΩΝ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</si>
</sst>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zoomScale="80" zoomScaleNormal="80" workbookViewId="0">
      <selection activeCell="B17" sqref="B17"/>
    </sheetView>
  </sheetViews>
  <sheetFormatPr defaultColWidth="0" defaultRowHeight="15" zeroHeight="1" x14ac:dyDescent="0.25"/>
  <cols>
    <col min="1" max="1" width="41" style="133" customWidth="1"/>
    <col min="2" max="2" width="17.85546875" style="133" customWidth="1"/>
    <col min="3" max="3" width="58.7109375" style="133" customWidth="1"/>
    <col min="4" max="4" width="84.140625" style="133" hidden="1" customWidth="1"/>
    <col min="5" max="16384" width="9.140625" style="133" hidden="1"/>
  </cols>
  <sheetData>
    <row r="1" spans="1:3" x14ac:dyDescent="0.25">
      <c r="A1" s="181"/>
      <c r="B1" s="181"/>
      <c r="C1" s="10" t="s">
        <v>27</v>
      </c>
    </row>
    <row r="2" spans="1:3" ht="22.5" customHeight="1" x14ac:dyDescent="0.25">
      <c r="A2" s="10" t="s">
        <v>27</v>
      </c>
      <c r="B2" s="10"/>
      <c r="C2" s="64" t="s">
        <v>30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2" t="str">
        <f>IF(C2="",TEXT(C3,),C2)</f>
        <v>OTE</v>
      </c>
    </row>
    <row r="5" spans="1:3" ht="22.5" customHeight="1" x14ac:dyDescent="0.25">
      <c r="A5" s="10" t="s">
        <v>0</v>
      </c>
      <c r="B5" s="10"/>
      <c r="C5" s="64" t="s">
        <v>23</v>
      </c>
    </row>
    <row r="6" spans="1:3" ht="22.5" customHeight="1" x14ac:dyDescent="0.25">
      <c r="A6" s="10" t="s">
        <v>1</v>
      </c>
      <c r="B6" s="10"/>
      <c r="C6" s="65">
        <v>2018</v>
      </c>
    </row>
    <row r="7" spans="1:3" ht="22.5" customHeight="1" x14ac:dyDescent="0.25">
      <c r="A7" s="10" t="s">
        <v>446</v>
      </c>
      <c r="B7" s="10"/>
      <c r="C7" s="66">
        <v>43101</v>
      </c>
    </row>
    <row r="8" spans="1:3" ht="22.5" customHeight="1" x14ac:dyDescent="0.25">
      <c r="A8" s="10" t="s">
        <v>447</v>
      </c>
      <c r="B8" s="10"/>
      <c r="C8" s="66">
        <v>43281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445</v>
      </c>
      <c r="B10" s="10"/>
      <c r="C10" s="123" t="str">
        <f>IF(LEN(ΔΗΜΟΣ!O326)&gt;2,LEFT(ΔΗΜΟΣ!O326,LEN(ΔΗΜΟΣ!O326)-2),"")</f>
        <v/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zoomScale="80" zoomScaleNormal="80" workbookViewId="0">
      <selection activeCell="B2" sqref="B2"/>
    </sheetView>
  </sheetViews>
  <sheetFormatPr defaultRowHeight="15" x14ac:dyDescent="0.25"/>
  <cols>
    <col min="1" max="1" width="39.7109375" style="133" customWidth="1"/>
    <col min="2" max="2" width="20" style="133" customWidth="1"/>
    <col min="3" max="5" width="37.140625" style="133" hidden="1" customWidth="1"/>
    <col min="6" max="6" width="37.140625" style="133" customWidth="1"/>
    <col min="7" max="9" width="9.140625" style="133"/>
    <col min="10" max="14" width="37.140625" style="133" customWidth="1"/>
    <col min="15" max="16384" width="9.140625" style="133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35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35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19" t="s">
        <v>403</v>
      </c>
      <c r="B4" s="70" t="s">
        <v>35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19" t="s">
        <v>404</v>
      </c>
      <c r="B5" s="70" t="s">
        <v>35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19" t="s">
        <v>405</v>
      </c>
      <c r="B6" s="70" t="s">
        <v>35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19" t="s">
        <v>406</v>
      </c>
      <c r="B7" s="70" t="s">
        <v>35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19" t="s">
        <v>407</v>
      </c>
      <c r="B8" s="70" t="s">
        <v>35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19" t="s">
        <v>408</v>
      </c>
      <c r="B9" s="70" t="s">
        <v>35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19" t="s">
        <v>409</v>
      </c>
      <c r="B10" s="70" t="s">
        <v>35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19" t="s">
        <v>410</v>
      </c>
      <c r="B11" s="70" t="s">
        <v>35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19" t="s">
        <v>411</v>
      </c>
      <c r="B12" s="70" t="s">
        <v>35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19" t="s">
        <v>412</v>
      </c>
      <c r="B13" s="70" t="s">
        <v>35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35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33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33" t="str">
        <f>CONCATENATE(D2,D3,D4,D5,D6,D7,D8,D9,D10,D11,D12,D13,D14)</f>
        <v/>
      </c>
      <c r="E15" s="133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zoomScale="80" zoomScaleNormal="80" workbookViewId="0">
      <selection activeCell="M3" sqref="M3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9" t="s">
        <v>419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9" t="s">
        <v>419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9" t="s">
        <v>419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9" t="s">
        <v>419</v>
      </c>
      <c r="N5" t="str">
        <f t="shared" si="5"/>
        <v/>
      </c>
      <c r="O5" t="str">
        <f t="shared" si="6"/>
        <v/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9" t="s">
        <v>419</v>
      </c>
      <c r="N6" t="str">
        <f t="shared" si="5"/>
        <v/>
      </c>
      <c r="O6" t="str">
        <f t="shared" si="6"/>
        <v/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9" t="s">
        <v>419</v>
      </c>
      <c r="N7" t="str">
        <f t="shared" si="5"/>
        <v/>
      </c>
      <c r="O7" t="str">
        <f t="shared" si="6"/>
        <v/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9" t="s">
        <v>419</v>
      </c>
      <c r="N8" t="str">
        <f t="shared" si="5"/>
        <v/>
      </c>
      <c r="O8" t="str">
        <f t="shared" si="6"/>
        <v/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9" t="s">
        <v>419</v>
      </c>
      <c r="N9" t="str">
        <f t="shared" si="5"/>
        <v/>
      </c>
      <c r="O9" t="str">
        <f t="shared" si="6"/>
        <v/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9" t="s">
        <v>419</v>
      </c>
      <c r="N10" t="str">
        <f t="shared" si="5"/>
        <v/>
      </c>
      <c r="O10" t="str">
        <f t="shared" si="6"/>
        <v/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9" t="s">
        <v>419</v>
      </c>
      <c r="N11" t="str">
        <f t="shared" si="5"/>
        <v/>
      </c>
      <c r="O11" t="str">
        <f t="shared" si="6"/>
        <v/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9" t="s">
        <v>419</v>
      </c>
      <c r="N12" t="str">
        <f t="shared" si="5"/>
        <v/>
      </c>
      <c r="O12" t="str">
        <f t="shared" si="6"/>
        <v/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9" t="s">
        <v>419</v>
      </c>
      <c r="N13" t="str">
        <f t="shared" si="5"/>
        <v/>
      </c>
      <c r="O13" t="str">
        <f t="shared" si="6"/>
        <v/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9" t="s">
        <v>419</v>
      </c>
      <c r="N14" t="str">
        <f t="shared" si="5"/>
        <v/>
      </c>
      <c r="O14" t="str">
        <f t="shared" si="6"/>
        <v/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9" t="s">
        <v>419</v>
      </c>
      <c r="N15" t="str">
        <f t="shared" si="5"/>
        <v/>
      </c>
      <c r="O15" t="str">
        <f t="shared" si="6"/>
        <v/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9" t="s">
        <v>419</v>
      </c>
      <c r="N16" t="str">
        <f t="shared" si="5"/>
        <v/>
      </c>
      <c r="O16" t="str">
        <f t="shared" si="6"/>
        <v/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9" t="s">
        <v>419</v>
      </c>
      <c r="N17" t="str">
        <f t="shared" si="5"/>
        <v/>
      </c>
      <c r="O17" t="str">
        <f t="shared" si="6"/>
        <v/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9" t="s">
        <v>419</v>
      </c>
      <c r="N18" t="str">
        <f t="shared" si="5"/>
        <v/>
      </c>
      <c r="O18" t="str">
        <f t="shared" si="6"/>
        <v/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9" t="s">
        <v>419</v>
      </c>
      <c r="N19" t="str">
        <f t="shared" si="5"/>
        <v/>
      </c>
      <c r="O19" t="str">
        <f t="shared" si="6"/>
        <v/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9" t="s">
        <v>419</v>
      </c>
      <c r="N20" t="str">
        <f t="shared" si="5"/>
        <v/>
      </c>
      <c r="O20" t="str">
        <f t="shared" si="6"/>
        <v/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9" t="s">
        <v>419</v>
      </c>
      <c r="N21" t="str">
        <f t="shared" si="5"/>
        <v/>
      </c>
      <c r="O21" t="str">
        <f t="shared" si="6"/>
        <v/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9" t="s">
        <v>419</v>
      </c>
      <c r="N22" t="str">
        <f t="shared" si="5"/>
        <v/>
      </c>
      <c r="O22" t="str">
        <f t="shared" si="6"/>
        <v/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9" t="s">
        <v>419</v>
      </c>
      <c r="N23" t="str">
        <f t="shared" si="5"/>
        <v/>
      </c>
      <c r="O23" t="str">
        <f t="shared" si="6"/>
        <v/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9" t="s">
        <v>419</v>
      </c>
      <c r="N24" t="str">
        <f t="shared" si="5"/>
        <v/>
      </c>
      <c r="O24" t="str">
        <f t="shared" si="6"/>
        <v/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9" t="s">
        <v>419</v>
      </c>
      <c r="N25" t="str">
        <f t="shared" si="5"/>
        <v/>
      </c>
      <c r="O25" t="str">
        <f t="shared" si="6"/>
        <v/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9" t="s">
        <v>419</v>
      </c>
      <c r="N26" t="str">
        <f t="shared" si="5"/>
        <v/>
      </c>
      <c r="O26" t="str">
        <f t="shared" si="6"/>
        <v/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9" t="s">
        <v>419</v>
      </c>
      <c r="N27" t="str">
        <f t="shared" si="5"/>
        <v/>
      </c>
      <c r="O27" t="str">
        <f t="shared" si="6"/>
        <v/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9" t="s">
        <v>419</v>
      </c>
      <c r="N28" t="str">
        <f t="shared" si="5"/>
        <v/>
      </c>
      <c r="O28" t="str">
        <f t="shared" si="6"/>
        <v/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9" t="s">
        <v>419</v>
      </c>
      <c r="N29" t="str">
        <f t="shared" si="5"/>
        <v/>
      </c>
      <c r="O29" t="str">
        <f t="shared" si="6"/>
        <v/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9" t="s">
        <v>419</v>
      </c>
      <c r="N30" t="str">
        <f t="shared" si="5"/>
        <v/>
      </c>
      <c r="O30" t="str">
        <f t="shared" si="6"/>
        <v/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9" t="s">
        <v>419</v>
      </c>
      <c r="N31" t="str">
        <f t="shared" si="5"/>
        <v/>
      </c>
      <c r="O31" t="str">
        <f t="shared" si="6"/>
        <v/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9" t="s">
        <v>419</v>
      </c>
      <c r="N32" t="str">
        <f t="shared" si="5"/>
        <v/>
      </c>
      <c r="O32" t="str">
        <f t="shared" si="6"/>
        <v/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9" t="s">
        <v>419</v>
      </c>
      <c r="N33" t="str">
        <f t="shared" si="5"/>
        <v/>
      </c>
      <c r="O33" t="str">
        <f t="shared" si="6"/>
        <v/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9" t="s">
        <v>419</v>
      </c>
      <c r="N34" t="str">
        <f t="shared" si="5"/>
        <v/>
      </c>
      <c r="O34" t="str">
        <f t="shared" si="6"/>
        <v/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9" t="s">
        <v>419</v>
      </c>
      <c r="N35" t="str">
        <f t="shared" si="5"/>
        <v/>
      </c>
      <c r="O35" t="str">
        <f t="shared" si="6"/>
        <v/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9" t="s">
        <v>419</v>
      </c>
      <c r="N36" t="str">
        <f t="shared" si="5"/>
        <v/>
      </c>
      <c r="O36" t="str">
        <f t="shared" si="6"/>
        <v/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9" t="s">
        <v>419</v>
      </c>
      <c r="N37" t="str">
        <f t="shared" si="5"/>
        <v/>
      </c>
      <c r="O37" t="str">
        <f t="shared" si="6"/>
        <v/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9" t="s">
        <v>419</v>
      </c>
      <c r="N38" t="str">
        <f t="shared" si="5"/>
        <v/>
      </c>
      <c r="O38" t="str">
        <f t="shared" si="6"/>
        <v/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9" t="s">
        <v>419</v>
      </c>
      <c r="N39" t="str">
        <f t="shared" si="5"/>
        <v/>
      </c>
      <c r="O39" t="str">
        <f t="shared" si="6"/>
        <v/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9" t="s">
        <v>419</v>
      </c>
      <c r="N40" t="str">
        <f t="shared" si="5"/>
        <v/>
      </c>
      <c r="O40" t="str">
        <f t="shared" si="6"/>
        <v/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9" t="s">
        <v>419</v>
      </c>
      <c r="N41" t="str">
        <f t="shared" si="5"/>
        <v/>
      </c>
      <c r="O41" t="str">
        <f t="shared" si="6"/>
        <v/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9" t="s">
        <v>419</v>
      </c>
      <c r="N42" t="str">
        <f t="shared" si="5"/>
        <v/>
      </c>
      <c r="O42" t="str">
        <f t="shared" si="6"/>
        <v/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9" t="s">
        <v>419</v>
      </c>
      <c r="N43" t="str">
        <f t="shared" si="5"/>
        <v/>
      </c>
      <c r="O43" t="str">
        <f t="shared" si="6"/>
        <v/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9" t="s">
        <v>419</v>
      </c>
      <c r="N44" t="str">
        <f t="shared" si="5"/>
        <v/>
      </c>
      <c r="O44" t="str">
        <f t="shared" si="6"/>
        <v/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9" t="s">
        <v>419</v>
      </c>
      <c r="N45" t="str">
        <f t="shared" si="5"/>
        <v/>
      </c>
      <c r="O45" t="str">
        <f t="shared" si="6"/>
        <v/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9" t="s">
        <v>419</v>
      </c>
      <c r="N46" t="str">
        <f t="shared" si="5"/>
        <v/>
      </c>
      <c r="O46" t="str">
        <f t="shared" si="6"/>
        <v/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9" t="s">
        <v>419</v>
      </c>
      <c r="N47" t="str">
        <f t="shared" si="5"/>
        <v/>
      </c>
      <c r="O47" t="str">
        <f t="shared" si="6"/>
        <v/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9" t="s">
        <v>419</v>
      </c>
      <c r="N48" t="str">
        <f t="shared" si="5"/>
        <v/>
      </c>
      <c r="O48" t="str">
        <f t="shared" si="6"/>
        <v/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9" t="s">
        <v>419</v>
      </c>
      <c r="N49" t="str">
        <f t="shared" si="5"/>
        <v/>
      </c>
      <c r="O49" t="str">
        <f t="shared" si="6"/>
        <v/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9" t="s">
        <v>419</v>
      </c>
      <c r="N50" t="str">
        <f t="shared" si="5"/>
        <v/>
      </c>
      <c r="O50" t="str">
        <f t="shared" si="6"/>
        <v/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9" t="s">
        <v>419</v>
      </c>
      <c r="N51" t="str">
        <f t="shared" si="5"/>
        <v/>
      </c>
      <c r="O51" t="str">
        <f t="shared" si="6"/>
        <v/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9" t="s">
        <v>419</v>
      </c>
      <c r="N52" t="str">
        <f t="shared" si="5"/>
        <v/>
      </c>
      <c r="O52" t="str">
        <f t="shared" si="6"/>
        <v/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9" t="s">
        <v>419</v>
      </c>
      <c r="N53" t="str">
        <f t="shared" si="5"/>
        <v/>
      </c>
      <c r="O53" t="str">
        <f t="shared" si="6"/>
        <v/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9" t="s">
        <v>419</v>
      </c>
      <c r="N54" t="str">
        <f t="shared" si="5"/>
        <v/>
      </c>
      <c r="O54" t="str">
        <f t="shared" si="6"/>
        <v/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9" t="s">
        <v>419</v>
      </c>
      <c r="N55" t="str">
        <f t="shared" si="5"/>
        <v/>
      </c>
      <c r="O55" t="str">
        <f t="shared" si="6"/>
        <v/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9" t="s">
        <v>419</v>
      </c>
      <c r="N56" t="str">
        <f t="shared" si="5"/>
        <v/>
      </c>
      <c r="O56" t="str">
        <f t="shared" si="6"/>
        <v/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9" t="s">
        <v>419</v>
      </c>
      <c r="N57" t="str">
        <f t="shared" si="5"/>
        <v/>
      </c>
      <c r="O57" t="str">
        <f t="shared" si="6"/>
        <v/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9" t="s">
        <v>419</v>
      </c>
      <c r="N58" t="str">
        <f t="shared" si="5"/>
        <v/>
      </c>
      <c r="O58" t="str">
        <f t="shared" si="6"/>
        <v/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9" t="s">
        <v>419</v>
      </c>
      <c r="N59" t="str">
        <f t="shared" si="5"/>
        <v/>
      </c>
      <c r="O59" t="str">
        <f t="shared" si="6"/>
        <v/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9" t="s">
        <v>419</v>
      </c>
      <c r="N60" t="str">
        <f t="shared" si="5"/>
        <v/>
      </c>
      <c r="O60" t="str">
        <f t="shared" si="6"/>
        <v/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9" t="s">
        <v>419</v>
      </c>
      <c r="N61" t="str">
        <f t="shared" si="5"/>
        <v/>
      </c>
      <c r="O61" t="str">
        <f t="shared" si="6"/>
        <v/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9" t="s">
        <v>419</v>
      </c>
      <c r="N62" t="str">
        <f t="shared" si="5"/>
        <v/>
      </c>
      <c r="O62" t="str">
        <f t="shared" si="6"/>
        <v/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9" t="s">
        <v>419</v>
      </c>
      <c r="N63" t="str">
        <f t="shared" si="5"/>
        <v/>
      </c>
      <c r="O63" t="str">
        <f t="shared" si="6"/>
        <v/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9" t="s">
        <v>419</v>
      </c>
      <c r="N64" t="str">
        <f t="shared" si="5"/>
        <v/>
      </c>
      <c r="O64" t="str">
        <f t="shared" si="6"/>
        <v/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9" t="s">
        <v>419</v>
      </c>
      <c r="N65" t="str">
        <f t="shared" si="5"/>
        <v/>
      </c>
      <c r="O65" t="str">
        <f t="shared" si="6"/>
        <v/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9" t="s">
        <v>419</v>
      </c>
      <c r="N66" t="str">
        <f t="shared" si="5"/>
        <v/>
      </c>
      <c r="O66" t="str">
        <f t="shared" si="6"/>
        <v/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9" t="s">
        <v>419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9" t="s">
        <v>419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9" t="s">
        <v>419</v>
      </c>
      <c r="N69" t="str">
        <f t="shared" si="12"/>
        <v/>
      </c>
      <c r="O69" t="str">
        <f t="shared" si="13"/>
        <v/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9" t="s">
        <v>419</v>
      </c>
      <c r="N70" t="str">
        <f t="shared" si="12"/>
        <v/>
      </c>
      <c r="O70" t="str">
        <f t="shared" si="13"/>
        <v/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9" t="s">
        <v>419</v>
      </c>
      <c r="N71" t="str">
        <f t="shared" si="12"/>
        <v/>
      </c>
      <c r="O71" t="str">
        <f t="shared" si="13"/>
        <v/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9" t="s">
        <v>419</v>
      </c>
      <c r="N72" t="str">
        <f t="shared" si="12"/>
        <v/>
      </c>
      <c r="O72" t="str">
        <f t="shared" si="13"/>
        <v/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9" t="s">
        <v>419</v>
      </c>
      <c r="N73" t="str">
        <f t="shared" si="12"/>
        <v/>
      </c>
      <c r="O73" t="str">
        <f t="shared" si="13"/>
        <v/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9" t="s">
        <v>419</v>
      </c>
      <c r="N74" t="str">
        <f t="shared" si="12"/>
        <v/>
      </c>
      <c r="O74" t="str">
        <f t="shared" si="13"/>
        <v/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9" t="s">
        <v>419</v>
      </c>
      <c r="N75" t="str">
        <f t="shared" si="12"/>
        <v/>
      </c>
      <c r="O75" t="str">
        <f t="shared" si="13"/>
        <v/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9" t="s">
        <v>419</v>
      </c>
      <c r="N76" t="str">
        <f t="shared" si="12"/>
        <v/>
      </c>
      <c r="O76" t="str">
        <f t="shared" si="13"/>
        <v/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9" t="s">
        <v>419</v>
      </c>
      <c r="N77" t="str">
        <f t="shared" si="12"/>
        <v/>
      </c>
      <c r="O77" t="str">
        <f t="shared" si="13"/>
        <v/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9" t="s">
        <v>419</v>
      </c>
      <c r="N78" t="str">
        <f t="shared" si="12"/>
        <v/>
      </c>
      <c r="O78" t="str">
        <f t="shared" si="13"/>
        <v/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9" t="s">
        <v>419</v>
      </c>
      <c r="N79" t="str">
        <f t="shared" si="12"/>
        <v/>
      </c>
      <c r="O79" t="str">
        <f t="shared" si="13"/>
        <v/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9" t="s">
        <v>419</v>
      </c>
      <c r="N80" t="str">
        <f t="shared" si="12"/>
        <v/>
      </c>
      <c r="O80" t="str">
        <f t="shared" si="13"/>
        <v/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9" t="s">
        <v>419</v>
      </c>
      <c r="N81" t="str">
        <f t="shared" si="12"/>
        <v/>
      </c>
      <c r="O81" t="str">
        <f t="shared" si="13"/>
        <v/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9" t="s">
        <v>419</v>
      </c>
      <c r="N82" t="str">
        <f t="shared" si="12"/>
        <v/>
      </c>
      <c r="O82" t="str">
        <f t="shared" si="13"/>
        <v/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9" t="s">
        <v>419</v>
      </c>
      <c r="N83" t="str">
        <f t="shared" si="12"/>
        <v/>
      </c>
      <c r="O83" t="str">
        <f t="shared" si="13"/>
        <v/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9" t="s">
        <v>419</v>
      </c>
      <c r="N84" t="str">
        <f t="shared" si="12"/>
        <v/>
      </c>
      <c r="O84" t="str">
        <f t="shared" si="13"/>
        <v/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9" t="s">
        <v>419</v>
      </c>
      <c r="N85" t="str">
        <f t="shared" si="12"/>
        <v/>
      </c>
      <c r="O85" t="str">
        <f t="shared" si="13"/>
        <v/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9" t="s">
        <v>419</v>
      </c>
      <c r="N86" t="str">
        <f t="shared" si="12"/>
        <v/>
      </c>
      <c r="O86" t="str">
        <f t="shared" si="13"/>
        <v/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9" t="s">
        <v>419</v>
      </c>
      <c r="N87" t="str">
        <f t="shared" si="12"/>
        <v/>
      </c>
      <c r="O87" t="str">
        <f t="shared" si="13"/>
        <v/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9" t="s">
        <v>419</v>
      </c>
      <c r="N88" t="str">
        <f t="shared" si="12"/>
        <v/>
      </c>
      <c r="O88" t="str">
        <f t="shared" si="13"/>
        <v/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9" t="s">
        <v>419</v>
      </c>
      <c r="N89" t="str">
        <f t="shared" si="12"/>
        <v/>
      </c>
      <c r="O89" t="str">
        <f t="shared" si="13"/>
        <v/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9" t="s">
        <v>419</v>
      </c>
      <c r="N90" t="str">
        <f t="shared" si="12"/>
        <v/>
      </c>
      <c r="O90" t="str">
        <f t="shared" si="13"/>
        <v/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9" t="s">
        <v>419</v>
      </c>
      <c r="N91" t="str">
        <f t="shared" si="12"/>
        <v/>
      </c>
      <c r="O91" t="str">
        <f t="shared" si="13"/>
        <v/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9" t="s">
        <v>419</v>
      </c>
      <c r="N92" t="str">
        <f t="shared" si="12"/>
        <v/>
      </c>
      <c r="O92" t="str">
        <f t="shared" si="13"/>
        <v/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9" t="s">
        <v>419</v>
      </c>
      <c r="N93" t="str">
        <f t="shared" si="12"/>
        <v/>
      </c>
      <c r="O93" t="str">
        <f t="shared" si="13"/>
        <v/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9" t="s">
        <v>419</v>
      </c>
      <c r="N94" t="str">
        <f t="shared" si="12"/>
        <v/>
      </c>
      <c r="O94" t="str">
        <f t="shared" si="13"/>
        <v/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9" t="s">
        <v>419</v>
      </c>
      <c r="N95" t="str">
        <f t="shared" si="12"/>
        <v/>
      </c>
      <c r="O95" t="str">
        <f t="shared" si="13"/>
        <v/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9" t="s">
        <v>419</v>
      </c>
      <c r="N96" t="str">
        <f t="shared" si="12"/>
        <v/>
      </c>
      <c r="O96" t="str">
        <f t="shared" si="13"/>
        <v/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9" t="s">
        <v>419</v>
      </c>
      <c r="N97" t="str">
        <f t="shared" si="12"/>
        <v/>
      </c>
      <c r="O97" t="str">
        <f t="shared" si="13"/>
        <v/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9" t="s">
        <v>419</v>
      </c>
      <c r="N98" t="str">
        <f t="shared" si="12"/>
        <v/>
      </c>
      <c r="O98" t="str">
        <f t="shared" si="13"/>
        <v/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9" t="s">
        <v>419</v>
      </c>
      <c r="N99" t="str">
        <f t="shared" si="12"/>
        <v/>
      </c>
      <c r="O99" t="str">
        <f t="shared" si="13"/>
        <v/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9" t="s">
        <v>419</v>
      </c>
      <c r="N100" t="str">
        <f t="shared" si="12"/>
        <v/>
      </c>
      <c r="O100" t="str">
        <f t="shared" si="13"/>
        <v/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9" t="s">
        <v>419</v>
      </c>
      <c r="N101" t="str">
        <f t="shared" si="12"/>
        <v/>
      </c>
      <c r="O101" t="str">
        <f t="shared" si="13"/>
        <v/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9" t="s">
        <v>419</v>
      </c>
      <c r="N102" t="str">
        <f t="shared" si="12"/>
        <v/>
      </c>
      <c r="O102" t="str">
        <f t="shared" si="13"/>
        <v/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9" t="s">
        <v>419</v>
      </c>
      <c r="N103" t="str">
        <f t="shared" si="12"/>
        <v/>
      </c>
      <c r="O103" t="str">
        <f t="shared" si="13"/>
        <v/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9" t="s">
        <v>419</v>
      </c>
      <c r="N104" t="str">
        <f t="shared" si="12"/>
        <v/>
      </c>
      <c r="O104" t="str">
        <f t="shared" si="13"/>
        <v/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9" t="s">
        <v>419</v>
      </c>
      <c r="N105" t="str">
        <f t="shared" si="12"/>
        <v/>
      </c>
      <c r="O105" t="str">
        <f t="shared" si="13"/>
        <v/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9" t="s">
        <v>419</v>
      </c>
      <c r="N106" t="str">
        <f t="shared" si="12"/>
        <v/>
      </c>
      <c r="O106" t="str">
        <f t="shared" si="13"/>
        <v/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9" t="s">
        <v>419</v>
      </c>
      <c r="N107" t="str">
        <f t="shared" si="12"/>
        <v/>
      </c>
      <c r="O107" t="str">
        <f t="shared" si="13"/>
        <v/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9" t="s">
        <v>419</v>
      </c>
      <c r="N108" t="str">
        <f t="shared" si="12"/>
        <v/>
      </c>
      <c r="O108" t="str">
        <f t="shared" si="13"/>
        <v/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9" t="s">
        <v>419</v>
      </c>
      <c r="N109" t="str">
        <f t="shared" si="12"/>
        <v/>
      </c>
      <c r="O109" t="str">
        <f t="shared" si="13"/>
        <v/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9" t="s">
        <v>419</v>
      </c>
      <c r="N110" t="str">
        <f t="shared" si="12"/>
        <v/>
      </c>
      <c r="O110" t="str">
        <f t="shared" si="13"/>
        <v/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9" t="s">
        <v>419</v>
      </c>
      <c r="N111" t="str">
        <f t="shared" si="12"/>
        <v/>
      </c>
      <c r="O111" t="str">
        <f t="shared" si="13"/>
        <v/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9" t="s">
        <v>419</v>
      </c>
      <c r="N112" t="str">
        <f t="shared" si="12"/>
        <v/>
      </c>
      <c r="O112" t="str">
        <f t="shared" si="13"/>
        <v/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9" t="s">
        <v>419</v>
      </c>
      <c r="N113" t="str">
        <f t="shared" si="12"/>
        <v/>
      </c>
      <c r="O113" t="str">
        <f t="shared" si="13"/>
        <v/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9" t="s">
        <v>419</v>
      </c>
      <c r="N114" t="str">
        <f t="shared" si="12"/>
        <v/>
      </c>
      <c r="O114" t="str">
        <f t="shared" si="13"/>
        <v/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9" t="s">
        <v>419</v>
      </c>
      <c r="N115" t="str">
        <f t="shared" si="12"/>
        <v/>
      </c>
      <c r="O115" t="str">
        <f t="shared" si="13"/>
        <v/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9" t="s">
        <v>419</v>
      </c>
      <c r="N116" t="str">
        <f t="shared" si="12"/>
        <v/>
      </c>
      <c r="O116" t="str">
        <f t="shared" si="13"/>
        <v/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9" t="s">
        <v>419</v>
      </c>
      <c r="N117" t="str">
        <f t="shared" si="12"/>
        <v/>
      </c>
      <c r="O117" t="str">
        <f t="shared" si="13"/>
        <v/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9" t="s">
        <v>419</v>
      </c>
      <c r="N118" t="str">
        <f t="shared" si="12"/>
        <v/>
      </c>
      <c r="O118" t="str">
        <f t="shared" si="13"/>
        <v/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9" t="s">
        <v>419</v>
      </c>
      <c r="N119" t="str">
        <f t="shared" si="12"/>
        <v/>
      </c>
      <c r="O119" t="str">
        <f t="shared" si="13"/>
        <v/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9" t="s">
        <v>419</v>
      </c>
      <c r="N120" t="str">
        <f t="shared" si="12"/>
        <v/>
      </c>
      <c r="O120" t="str">
        <f t="shared" si="13"/>
        <v/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9" t="s">
        <v>419</v>
      </c>
      <c r="N121" t="str">
        <f t="shared" si="12"/>
        <v/>
      </c>
      <c r="O121" t="str">
        <f t="shared" si="13"/>
        <v/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9" t="s">
        <v>419</v>
      </c>
      <c r="N122" t="str">
        <f t="shared" si="12"/>
        <v/>
      </c>
      <c r="O122" t="str">
        <f t="shared" si="13"/>
        <v/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9" t="s">
        <v>419</v>
      </c>
      <c r="N123" t="str">
        <f t="shared" si="12"/>
        <v/>
      </c>
      <c r="O123" t="str">
        <f t="shared" si="13"/>
        <v/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9" t="s">
        <v>419</v>
      </c>
      <c r="N124" t="str">
        <f t="shared" si="12"/>
        <v/>
      </c>
      <c r="O124" t="str">
        <f t="shared" si="13"/>
        <v/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9" t="s">
        <v>419</v>
      </c>
      <c r="N125" t="str">
        <f t="shared" si="12"/>
        <v/>
      </c>
      <c r="O125" t="str">
        <f t="shared" si="13"/>
        <v/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9" t="s">
        <v>419</v>
      </c>
      <c r="N126" t="str">
        <f t="shared" si="12"/>
        <v/>
      </c>
      <c r="O126" t="str">
        <f t="shared" si="13"/>
        <v/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9" t="s">
        <v>419</v>
      </c>
      <c r="N127" t="str">
        <f t="shared" si="12"/>
        <v/>
      </c>
      <c r="O127" t="str">
        <f t="shared" si="13"/>
        <v/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9" t="s">
        <v>419</v>
      </c>
      <c r="N128" t="str">
        <f t="shared" si="12"/>
        <v/>
      </c>
      <c r="O128" t="str">
        <f t="shared" si="13"/>
        <v/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9" t="s">
        <v>419</v>
      </c>
      <c r="N129" t="str">
        <f t="shared" si="12"/>
        <v/>
      </c>
      <c r="O129" t="str">
        <f t="shared" si="13"/>
        <v/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9" t="s">
        <v>419</v>
      </c>
      <c r="N130" t="str">
        <f t="shared" si="12"/>
        <v/>
      </c>
      <c r="O130" t="str">
        <f t="shared" si="13"/>
        <v/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9" t="s">
        <v>419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9" t="s">
        <v>419</v>
      </c>
      <c r="N133" t="str">
        <f t="shared" si="19"/>
        <v/>
      </c>
      <c r="O133" t="str">
        <f t="shared" si="20"/>
        <v/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9" t="s">
        <v>419</v>
      </c>
      <c r="N134" t="str">
        <f t="shared" si="19"/>
        <v/>
      </c>
      <c r="O134" t="str">
        <f t="shared" si="20"/>
        <v/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9" t="s">
        <v>419</v>
      </c>
      <c r="N135" t="str">
        <f t="shared" si="19"/>
        <v/>
      </c>
      <c r="O135" t="str">
        <f t="shared" si="20"/>
        <v/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9" t="s">
        <v>419</v>
      </c>
      <c r="N136" t="str">
        <f t="shared" si="19"/>
        <v/>
      </c>
      <c r="O136" t="str">
        <f t="shared" si="20"/>
        <v/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9" t="s">
        <v>419</v>
      </c>
      <c r="N137" t="str">
        <f t="shared" si="19"/>
        <v/>
      </c>
      <c r="O137" t="str">
        <f t="shared" si="20"/>
        <v/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9" t="s">
        <v>419</v>
      </c>
      <c r="N138" t="str">
        <f t="shared" si="19"/>
        <v/>
      </c>
      <c r="O138" t="str">
        <f t="shared" si="20"/>
        <v/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9" t="s">
        <v>419</v>
      </c>
      <c r="N139" t="str">
        <f t="shared" si="19"/>
        <v/>
      </c>
      <c r="O139" t="str">
        <f t="shared" si="20"/>
        <v/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9" t="s">
        <v>419</v>
      </c>
      <c r="N140" t="str">
        <f t="shared" si="19"/>
        <v/>
      </c>
      <c r="O140" t="str">
        <f t="shared" si="20"/>
        <v/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9" t="s">
        <v>419</v>
      </c>
      <c r="N141" t="str">
        <f t="shared" si="19"/>
        <v/>
      </c>
      <c r="O141" t="str">
        <f t="shared" si="20"/>
        <v/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9" t="s">
        <v>419</v>
      </c>
      <c r="N142" t="str">
        <f t="shared" si="19"/>
        <v/>
      </c>
      <c r="O142" t="str">
        <f t="shared" si="20"/>
        <v/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9" t="s">
        <v>419</v>
      </c>
      <c r="N143" t="str">
        <f t="shared" si="19"/>
        <v/>
      </c>
      <c r="O143" t="str">
        <f t="shared" si="20"/>
        <v/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9" t="s">
        <v>419</v>
      </c>
      <c r="N144" t="str">
        <f t="shared" si="19"/>
        <v/>
      </c>
      <c r="O144" t="str">
        <f t="shared" si="20"/>
        <v/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9" t="s">
        <v>419</v>
      </c>
      <c r="N145" t="str">
        <f t="shared" si="19"/>
        <v/>
      </c>
      <c r="O145" t="str">
        <f t="shared" si="20"/>
        <v/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9" t="s">
        <v>419</v>
      </c>
      <c r="N146" t="str">
        <f t="shared" si="19"/>
        <v/>
      </c>
      <c r="O146" t="str">
        <f t="shared" si="20"/>
        <v/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9" t="s">
        <v>419</v>
      </c>
      <c r="N147" t="str">
        <f t="shared" si="19"/>
        <v/>
      </c>
      <c r="O147" t="str">
        <f t="shared" si="20"/>
        <v/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9" t="s">
        <v>419</v>
      </c>
      <c r="N148" t="str">
        <f t="shared" si="19"/>
        <v/>
      </c>
      <c r="O148" t="str">
        <f t="shared" si="20"/>
        <v/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9" t="s">
        <v>419</v>
      </c>
      <c r="N149" t="str">
        <f t="shared" si="19"/>
        <v/>
      </c>
      <c r="O149" t="str">
        <f t="shared" si="20"/>
        <v/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9" t="s">
        <v>419</v>
      </c>
      <c r="N150" t="str">
        <f t="shared" si="19"/>
        <v/>
      </c>
      <c r="O150" t="str">
        <f t="shared" si="20"/>
        <v/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9" t="s">
        <v>419</v>
      </c>
      <c r="N151" t="str">
        <f t="shared" si="19"/>
        <v/>
      </c>
      <c r="O151" t="str">
        <f t="shared" si="20"/>
        <v/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9" t="s">
        <v>419</v>
      </c>
      <c r="N152" t="str">
        <f t="shared" si="19"/>
        <v/>
      </c>
      <c r="O152" t="str">
        <f t="shared" si="20"/>
        <v/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9" t="s">
        <v>419</v>
      </c>
      <c r="N153" t="str">
        <f t="shared" si="19"/>
        <v/>
      </c>
      <c r="O153" t="str">
        <f t="shared" si="20"/>
        <v/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9" t="s">
        <v>419</v>
      </c>
      <c r="N154" t="str">
        <f t="shared" si="19"/>
        <v/>
      </c>
      <c r="O154" t="str">
        <f t="shared" si="20"/>
        <v/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9" t="s">
        <v>419</v>
      </c>
      <c r="N155" t="str">
        <f t="shared" si="19"/>
        <v/>
      </c>
      <c r="O155" t="str">
        <f t="shared" si="20"/>
        <v/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9" t="s">
        <v>419</v>
      </c>
      <c r="N156" t="str">
        <f t="shared" si="19"/>
        <v/>
      </c>
      <c r="O156" t="str">
        <f t="shared" si="20"/>
        <v/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9" t="s">
        <v>419</v>
      </c>
      <c r="N157" t="str">
        <f t="shared" si="19"/>
        <v/>
      </c>
      <c r="O157" t="str">
        <f t="shared" si="20"/>
        <v/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9" t="s">
        <v>419</v>
      </c>
      <c r="N158" t="str">
        <f t="shared" si="19"/>
        <v/>
      </c>
      <c r="O158" t="str">
        <f t="shared" si="20"/>
        <v/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9" t="s">
        <v>419</v>
      </c>
      <c r="N159" t="str">
        <f t="shared" si="19"/>
        <v/>
      </c>
      <c r="O159" t="str">
        <f t="shared" si="20"/>
        <v/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9" t="s">
        <v>419</v>
      </c>
      <c r="N160" t="str">
        <f t="shared" si="19"/>
        <v/>
      </c>
      <c r="O160" t="str">
        <f t="shared" si="20"/>
        <v/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9" t="s">
        <v>419</v>
      </c>
      <c r="N161" t="str">
        <f t="shared" si="19"/>
        <v/>
      </c>
      <c r="O161" t="str">
        <f t="shared" si="20"/>
        <v/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9" t="s">
        <v>419</v>
      </c>
      <c r="N162" t="str">
        <f t="shared" si="19"/>
        <v/>
      </c>
      <c r="O162" t="str">
        <f t="shared" si="20"/>
        <v/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9" t="s">
        <v>419</v>
      </c>
      <c r="N163" t="str">
        <f t="shared" si="19"/>
        <v/>
      </c>
      <c r="O163" t="str">
        <f t="shared" si="20"/>
        <v/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9" t="s">
        <v>419</v>
      </c>
      <c r="N164" t="str">
        <f t="shared" si="19"/>
        <v/>
      </c>
      <c r="O164" t="str">
        <f t="shared" si="20"/>
        <v/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9" t="s">
        <v>419</v>
      </c>
      <c r="N165" t="str">
        <f t="shared" si="19"/>
        <v/>
      </c>
      <c r="O165" t="str">
        <f t="shared" si="20"/>
        <v/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9" t="s">
        <v>419</v>
      </c>
      <c r="N166" t="str">
        <f t="shared" si="19"/>
        <v/>
      </c>
      <c r="O166" t="str">
        <f t="shared" si="20"/>
        <v/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9" t="s">
        <v>419</v>
      </c>
      <c r="N167" t="str">
        <f t="shared" si="19"/>
        <v/>
      </c>
      <c r="O167" t="str">
        <f t="shared" si="20"/>
        <v/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9" t="s">
        <v>419</v>
      </c>
      <c r="N168" t="str">
        <f t="shared" si="19"/>
        <v/>
      </c>
      <c r="O168" t="str">
        <f t="shared" si="20"/>
        <v/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9" t="s">
        <v>419</v>
      </c>
      <c r="N169" t="str">
        <f t="shared" si="19"/>
        <v/>
      </c>
      <c r="O169" t="str">
        <f t="shared" si="20"/>
        <v/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9" t="s">
        <v>419</v>
      </c>
      <c r="N170" t="str">
        <f t="shared" si="19"/>
        <v/>
      </c>
      <c r="O170" t="str">
        <f t="shared" si="20"/>
        <v/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9" t="s">
        <v>419</v>
      </c>
      <c r="N171" t="str">
        <f t="shared" si="19"/>
        <v/>
      </c>
      <c r="O171" t="str">
        <f t="shared" si="20"/>
        <v/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9" t="s">
        <v>419</v>
      </c>
      <c r="N172" t="str">
        <f t="shared" si="19"/>
        <v/>
      </c>
      <c r="O172" t="str">
        <f t="shared" si="20"/>
        <v/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9" t="s">
        <v>419</v>
      </c>
      <c r="N173" t="str">
        <f t="shared" si="19"/>
        <v/>
      </c>
      <c r="O173" t="str">
        <f t="shared" si="20"/>
        <v/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9" t="s">
        <v>419</v>
      </c>
      <c r="N174" t="str">
        <f t="shared" si="19"/>
        <v/>
      </c>
      <c r="O174" t="str">
        <f t="shared" si="20"/>
        <v/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9" t="s">
        <v>419</v>
      </c>
      <c r="N175" t="str">
        <f t="shared" si="19"/>
        <v/>
      </c>
      <c r="O175" t="str">
        <f t="shared" si="20"/>
        <v/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9" t="s">
        <v>419</v>
      </c>
      <c r="N176" t="str">
        <f t="shared" si="19"/>
        <v/>
      </c>
      <c r="O176" t="str">
        <f t="shared" si="20"/>
        <v/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9" t="s">
        <v>419</v>
      </c>
      <c r="N177" t="str">
        <f t="shared" si="19"/>
        <v/>
      </c>
      <c r="O177" t="str">
        <f t="shared" si="20"/>
        <v/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9" t="s">
        <v>419</v>
      </c>
      <c r="N178" t="str">
        <f t="shared" si="19"/>
        <v/>
      </c>
      <c r="O178" t="str">
        <f t="shared" si="20"/>
        <v/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9" t="s">
        <v>419</v>
      </c>
      <c r="N179" t="str">
        <f t="shared" si="19"/>
        <v/>
      </c>
      <c r="O179" t="str">
        <f t="shared" si="20"/>
        <v/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9" t="s">
        <v>419</v>
      </c>
      <c r="N180" t="str">
        <f t="shared" si="19"/>
        <v/>
      </c>
      <c r="O180" t="str">
        <f t="shared" si="20"/>
        <v/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9" t="s">
        <v>419</v>
      </c>
      <c r="N181" t="str">
        <f t="shared" si="19"/>
        <v/>
      </c>
      <c r="O181" t="str">
        <f t="shared" si="20"/>
        <v/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9" t="s">
        <v>419</v>
      </c>
      <c r="N182" t="str">
        <f t="shared" si="19"/>
        <v/>
      </c>
      <c r="O182" t="str">
        <f t="shared" si="20"/>
        <v/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9" t="s">
        <v>419</v>
      </c>
      <c r="N183" t="str">
        <f t="shared" si="19"/>
        <v/>
      </c>
      <c r="O183" t="str">
        <f t="shared" si="20"/>
        <v/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9" t="s">
        <v>419</v>
      </c>
      <c r="N184" t="str">
        <f t="shared" si="19"/>
        <v/>
      </c>
      <c r="O184" t="str">
        <f t="shared" si="20"/>
        <v/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9" t="s">
        <v>419</v>
      </c>
      <c r="N185" t="str">
        <f t="shared" si="19"/>
        <v/>
      </c>
      <c r="O185" t="str">
        <f t="shared" si="20"/>
        <v/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9" t="s">
        <v>419</v>
      </c>
      <c r="N186" t="str">
        <f t="shared" si="19"/>
        <v/>
      </c>
      <c r="O186" t="str">
        <f t="shared" si="20"/>
        <v/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9" t="s">
        <v>419</v>
      </c>
      <c r="N187" t="str">
        <f t="shared" si="19"/>
        <v/>
      </c>
      <c r="O187" t="str">
        <f t="shared" si="20"/>
        <v/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9" t="s">
        <v>419</v>
      </c>
      <c r="N188" t="str">
        <f t="shared" si="19"/>
        <v/>
      </c>
      <c r="O188" t="str">
        <f t="shared" si="20"/>
        <v/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9" t="s">
        <v>419</v>
      </c>
      <c r="N189" t="str">
        <f t="shared" si="19"/>
        <v/>
      </c>
      <c r="O189" t="str">
        <f t="shared" si="20"/>
        <v/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9" t="s">
        <v>419</v>
      </c>
      <c r="N190" t="str">
        <f t="shared" si="19"/>
        <v/>
      </c>
      <c r="O190" t="str">
        <f t="shared" si="20"/>
        <v/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9" t="s">
        <v>419</v>
      </c>
      <c r="N191" t="str">
        <f t="shared" si="19"/>
        <v/>
      </c>
      <c r="O191" t="str">
        <f t="shared" si="20"/>
        <v/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9" t="s">
        <v>419</v>
      </c>
      <c r="N192" t="str">
        <f t="shared" si="19"/>
        <v/>
      </c>
      <c r="O192" t="str">
        <f t="shared" si="20"/>
        <v/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9" t="s">
        <v>419</v>
      </c>
      <c r="N193" t="str">
        <f t="shared" si="19"/>
        <v/>
      </c>
      <c r="O193" t="str">
        <f t="shared" si="20"/>
        <v/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9" t="s">
        <v>419</v>
      </c>
      <c r="N194" t="str">
        <f t="shared" si="19"/>
        <v/>
      </c>
      <c r="O194" t="str">
        <f t="shared" si="20"/>
        <v/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9" t="s">
        <v>419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9" t="s">
        <v>419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9" t="s">
        <v>419</v>
      </c>
      <c r="N197" t="str">
        <f t="shared" si="26"/>
        <v/>
      </c>
      <c r="O197" t="str">
        <f t="shared" si="27"/>
        <v/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9" t="s">
        <v>419</v>
      </c>
      <c r="N198" t="str">
        <f t="shared" si="26"/>
        <v/>
      </c>
      <c r="O198" t="str">
        <f t="shared" si="27"/>
        <v/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9" t="s">
        <v>419</v>
      </c>
      <c r="N199" t="str">
        <f t="shared" si="26"/>
        <v/>
      </c>
      <c r="O199" t="str">
        <f t="shared" si="27"/>
        <v/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9" t="s">
        <v>419</v>
      </c>
      <c r="N200" t="str">
        <f t="shared" si="26"/>
        <v/>
      </c>
      <c r="O200" t="str">
        <f t="shared" si="27"/>
        <v/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9" t="s">
        <v>419</v>
      </c>
      <c r="N201" t="str">
        <f t="shared" si="26"/>
        <v/>
      </c>
      <c r="O201" t="str">
        <f t="shared" si="27"/>
        <v/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9" t="s">
        <v>419</v>
      </c>
      <c r="N202" t="str">
        <f t="shared" si="26"/>
        <v/>
      </c>
      <c r="O202" t="str">
        <f t="shared" si="27"/>
        <v/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9" t="s">
        <v>419</v>
      </c>
      <c r="N203" t="str">
        <f t="shared" si="26"/>
        <v/>
      </c>
      <c r="O203" t="str">
        <f t="shared" si="27"/>
        <v/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9" t="s">
        <v>419</v>
      </c>
      <c r="N204" t="str">
        <f t="shared" si="26"/>
        <v/>
      </c>
      <c r="O204" t="str">
        <f t="shared" si="27"/>
        <v/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9" t="s">
        <v>419</v>
      </c>
      <c r="N205" t="str">
        <f t="shared" si="26"/>
        <v/>
      </c>
      <c r="O205" t="str">
        <f t="shared" si="27"/>
        <v/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9" t="s">
        <v>419</v>
      </c>
      <c r="N206" t="str">
        <f t="shared" si="26"/>
        <v/>
      </c>
      <c r="O206" t="str">
        <f t="shared" si="27"/>
        <v/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9" t="s">
        <v>419</v>
      </c>
      <c r="N207" t="str">
        <f t="shared" si="26"/>
        <v/>
      </c>
      <c r="O207" t="str">
        <f t="shared" si="27"/>
        <v/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9" t="s">
        <v>419</v>
      </c>
      <c r="N208" t="str">
        <f t="shared" si="26"/>
        <v/>
      </c>
      <c r="O208" t="str">
        <f t="shared" si="27"/>
        <v/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9" t="s">
        <v>419</v>
      </c>
      <c r="N209" t="str">
        <f t="shared" si="26"/>
        <v/>
      </c>
      <c r="O209" t="str">
        <f t="shared" si="27"/>
        <v/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9" t="s">
        <v>419</v>
      </c>
      <c r="N210" t="str">
        <f t="shared" si="26"/>
        <v/>
      </c>
      <c r="O210" t="str">
        <f t="shared" si="27"/>
        <v/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9" t="s">
        <v>419</v>
      </c>
      <c r="N211" t="str">
        <f t="shared" si="26"/>
        <v/>
      </c>
      <c r="O211" t="str">
        <f t="shared" si="27"/>
        <v/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9" t="s">
        <v>419</v>
      </c>
      <c r="N212" t="str">
        <f t="shared" si="26"/>
        <v/>
      </c>
      <c r="O212" t="str">
        <f t="shared" si="27"/>
        <v/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9" t="s">
        <v>419</v>
      </c>
      <c r="N213" t="str">
        <f t="shared" si="26"/>
        <v/>
      </c>
      <c r="O213" t="str">
        <f t="shared" si="27"/>
        <v/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9" t="s">
        <v>419</v>
      </c>
      <c r="N214" t="str">
        <f t="shared" si="26"/>
        <v/>
      </c>
      <c r="O214" t="str">
        <f t="shared" si="27"/>
        <v/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9" t="s">
        <v>419</v>
      </c>
      <c r="N215" t="str">
        <f t="shared" si="26"/>
        <v/>
      </c>
      <c r="O215" t="str">
        <f t="shared" si="27"/>
        <v/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9" t="s">
        <v>419</v>
      </c>
      <c r="N216" t="str">
        <f t="shared" si="26"/>
        <v/>
      </c>
      <c r="O216" t="str">
        <f t="shared" si="27"/>
        <v/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9" t="s">
        <v>419</v>
      </c>
      <c r="N217" t="str">
        <f t="shared" si="26"/>
        <v/>
      </c>
      <c r="O217" t="str">
        <f t="shared" si="27"/>
        <v/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9" t="s">
        <v>419</v>
      </c>
      <c r="N218" t="str">
        <f t="shared" si="26"/>
        <v/>
      </c>
      <c r="O218" t="str">
        <f t="shared" si="27"/>
        <v/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9" t="s">
        <v>419</v>
      </c>
      <c r="N219" t="str">
        <f t="shared" si="26"/>
        <v/>
      </c>
      <c r="O219" t="str">
        <f t="shared" si="27"/>
        <v/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9" t="s">
        <v>419</v>
      </c>
      <c r="N220" t="str">
        <f t="shared" si="26"/>
        <v/>
      </c>
      <c r="O220" t="str">
        <f t="shared" si="27"/>
        <v/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9" t="s">
        <v>419</v>
      </c>
      <c r="N221" t="str">
        <f t="shared" si="26"/>
        <v/>
      </c>
      <c r="O221" t="str">
        <f t="shared" si="27"/>
        <v/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9" t="s">
        <v>419</v>
      </c>
      <c r="N222" t="str">
        <f t="shared" si="26"/>
        <v/>
      </c>
      <c r="O222" t="str">
        <f t="shared" si="27"/>
        <v/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9" t="s">
        <v>419</v>
      </c>
      <c r="N223" t="str">
        <f t="shared" si="26"/>
        <v/>
      </c>
      <c r="O223" t="str">
        <f t="shared" si="27"/>
        <v/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9" t="s">
        <v>419</v>
      </c>
      <c r="N224" t="str">
        <f t="shared" si="26"/>
        <v/>
      </c>
      <c r="O224" t="str">
        <f t="shared" si="27"/>
        <v/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9" t="s">
        <v>419</v>
      </c>
      <c r="N225" t="str">
        <f t="shared" si="26"/>
        <v/>
      </c>
      <c r="O225" t="str">
        <f t="shared" si="27"/>
        <v/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9" t="s">
        <v>419</v>
      </c>
      <c r="N226" t="str">
        <f t="shared" si="26"/>
        <v/>
      </c>
      <c r="O226" t="str">
        <f t="shared" si="27"/>
        <v/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9" t="s">
        <v>419</v>
      </c>
      <c r="N227" t="str">
        <f t="shared" si="26"/>
        <v/>
      </c>
      <c r="O227" t="str">
        <f t="shared" si="27"/>
        <v/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9" t="s">
        <v>419</v>
      </c>
      <c r="N228" t="str">
        <f t="shared" si="26"/>
        <v/>
      </c>
      <c r="O228" t="str">
        <f t="shared" si="27"/>
        <v/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9" t="s">
        <v>419</v>
      </c>
      <c r="N229" t="str">
        <f t="shared" si="26"/>
        <v/>
      </c>
      <c r="O229" t="str">
        <f t="shared" si="27"/>
        <v/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9" t="s">
        <v>419</v>
      </c>
      <c r="N230" t="str">
        <f t="shared" si="26"/>
        <v/>
      </c>
      <c r="O230" t="str">
        <f t="shared" si="27"/>
        <v/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9" t="s">
        <v>419</v>
      </c>
      <c r="N231" t="str">
        <f t="shared" si="26"/>
        <v/>
      </c>
      <c r="O231" t="str">
        <f t="shared" si="27"/>
        <v/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9" t="s">
        <v>419</v>
      </c>
      <c r="N232" t="str">
        <f t="shared" si="26"/>
        <v/>
      </c>
      <c r="O232" t="str">
        <f t="shared" si="27"/>
        <v/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9" t="s">
        <v>419</v>
      </c>
      <c r="N233" t="str">
        <f t="shared" si="26"/>
        <v/>
      </c>
      <c r="O233" t="str">
        <f t="shared" si="27"/>
        <v/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9" t="s">
        <v>419</v>
      </c>
      <c r="N234" t="str">
        <f t="shared" si="26"/>
        <v/>
      </c>
      <c r="O234" t="str">
        <f t="shared" si="27"/>
        <v/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9" t="s">
        <v>419</v>
      </c>
      <c r="N235" t="str">
        <f t="shared" si="26"/>
        <v/>
      </c>
      <c r="O235" t="str">
        <f t="shared" si="27"/>
        <v/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9" t="s">
        <v>419</v>
      </c>
      <c r="N236" t="str">
        <f t="shared" si="26"/>
        <v/>
      </c>
      <c r="O236" t="str">
        <f t="shared" si="27"/>
        <v/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9" t="s">
        <v>419</v>
      </c>
      <c r="N237" t="str">
        <f t="shared" si="26"/>
        <v/>
      </c>
      <c r="O237" t="str">
        <f t="shared" si="27"/>
        <v/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9" t="s">
        <v>419</v>
      </c>
      <c r="N238" t="str">
        <f t="shared" si="26"/>
        <v/>
      </c>
      <c r="O238" t="str">
        <f t="shared" si="27"/>
        <v/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9" t="s">
        <v>419</v>
      </c>
      <c r="N239" t="str">
        <f t="shared" si="26"/>
        <v/>
      </c>
      <c r="O239" t="str">
        <f t="shared" si="27"/>
        <v/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9" t="s">
        <v>419</v>
      </c>
      <c r="N240" t="str">
        <f t="shared" si="26"/>
        <v/>
      </c>
      <c r="O240" t="str">
        <f t="shared" si="27"/>
        <v/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9" t="s">
        <v>419</v>
      </c>
      <c r="N241" t="str">
        <f t="shared" si="26"/>
        <v/>
      </c>
      <c r="O241" t="str">
        <f t="shared" si="27"/>
        <v/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9" t="s">
        <v>419</v>
      </c>
      <c r="N242" t="str">
        <f t="shared" si="26"/>
        <v/>
      </c>
      <c r="O242" t="str">
        <f t="shared" si="27"/>
        <v/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9" t="s">
        <v>419</v>
      </c>
      <c r="N243" t="str">
        <f t="shared" si="26"/>
        <v/>
      </c>
      <c r="O243" t="str">
        <f t="shared" si="27"/>
        <v/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9" t="s">
        <v>419</v>
      </c>
      <c r="N244" t="str">
        <f t="shared" si="26"/>
        <v/>
      </c>
      <c r="O244" t="str">
        <f t="shared" si="27"/>
        <v/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9" t="s">
        <v>419</v>
      </c>
      <c r="N245" t="str">
        <f t="shared" si="26"/>
        <v/>
      </c>
      <c r="O245" t="str">
        <f t="shared" si="27"/>
        <v/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9" t="s">
        <v>419</v>
      </c>
      <c r="N246" t="str">
        <f t="shared" si="26"/>
        <v/>
      </c>
      <c r="O246" t="str">
        <f t="shared" si="27"/>
        <v/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9" t="s">
        <v>419</v>
      </c>
      <c r="N247" t="str">
        <f t="shared" si="26"/>
        <v/>
      </c>
      <c r="O247" t="str">
        <f t="shared" si="27"/>
        <v/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9" t="s">
        <v>419</v>
      </c>
      <c r="N248" t="str">
        <f t="shared" si="26"/>
        <v/>
      </c>
      <c r="O248" t="str">
        <f t="shared" si="27"/>
        <v/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9" t="s">
        <v>419</v>
      </c>
      <c r="N249" t="str">
        <f t="shared" si="26"/>
        <v/>
      </c>
      <c r="O249" t="str">
        <f t="shared" si="27"/>
        <v/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9" t="s">
        <v>419</v>
      </c>
      <c r="N250" t="str">
        <f t="shared" si="26"/>
        <v/>
      </c>
      <c r="O250" t="str">
        <f t="shared" si="27"/>
        <v/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9" t="s">
        <v>419</v>
      </c>
      <c r="N251" t="str">
        <f t="shared" si="26"/>
        <v/>
      </c>
      <c r="O251" t="str">
        <f t="shared" si="27"/>
        <v/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9" t="s">
        <v>419</v>
      </c>
      <c r="N252" t="str">
        <f t="shared" si="26"/>
        <v/>
      </c>
      <c r="O252" t="str">
        <f t="shared" si="27"/>
        <v/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9" t="s">
        <v>419</v>
      </c>
      <c r="N253" t="str">
        <f t="shared" si="26"/>
        <v/>
      </c>
      <c r="O253" t="str">
        <f t="shared" si="27"/>
        <v/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9" t="s">
        <v>419</v>
      </c>
      <c r="N254" t="str">
        <f t="shared" si="26"/>
        <v/>
      </c>
      <c r="O254" t="str">
        <f t="shared" si="27"/>
        <v/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9" t="s">
        <v>419</v>
      </c>
      <c r="N255" t="str">
        <f t="shared" si="26"/>
        <v/>
      </c>
      <c r="O255" t="str">
        <f t="shared" si="27"/>
        <v/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9" t="s">
        <v>419</v>
      </c>
      <c r="N256" t="str">
        <f t="shared" si="26"/>
        <v/>
      </c>
      <c r="O256" t="str">
        <f t="shared" si="27"/>
        <v/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9" t="s">
        <v>419</v>
      </c>
      <c r="N257" t="str">
        <f t="shared" si="26"/>
        <v/>
      </c>
      <c r="O257" t="str">
        <f t="shared" si="27"/>
        <v/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9" t="s">
        <v>419</v>
      </c>
      <c r="N258" t="str">
        <f t="shared" si="26"/>
        <v/>
      </c>
      <c r="O258" t="str">
        <f t="shared" si="27"/>
        <v/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9" t="s">
        <v>419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9" t="s">
        <v>419</v>
      </c>
      <c r="N261" t="str">
        <f t="shared" si="33"/>
        <v/>
      </c>
      <c r="O261" t="str">
        <f t="shared" si="34"/>
        <v/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9" t="s">
        <v>419</v>
      </c>
      <c r="N262" t="str">
        <f t="shared" si="33"/>
        <v/>
      </c>
      <c r="O262" t="str">
        <f t="shared" si="34"/>
        <v/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9" t="s">
        <v>419</v>
      </c>
      <c r="N263" t="str">
        <f t="shared" si="33"/>
        <v/>
      </c>
      <c r="O263" t="str">
        <f t="shared" si="34"/>
        <v/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9" t="s">
        <v>419</v>
      </c>
      <c r="N264" t="str">
        <f t="shared" si="33"/>
        <v/>
      </c>
      <c r="O264" t="str">
        <f t="shared" si="34"/>
        <v/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9" t="s">
        <v>419</v>
      </c>
      <c r="N265" t="str">
        <f t="shared" si="33"/>
        <v/>
      </c>
      <c r="O265" t="str">
        <f t="shared" si="34"/>
        <v/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9" t="s">
        <v>419</v>
      </c>
      <c r="N266" t="str">
        <f t="shared" si="33"/>
        <v/>
      </c>
      <c r="O266" t="str">
        <f t="shared" si="34"/>
        <v/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9" t="s">
        <v>419</v>
      </c>
      <c r="N267" t="str">
        <f t="shared" si="33"/>
        <v/>
      </c>
      <c r="O267" t="str">
        <f t="shared" si="34"/>
        <v/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9" t="s">
        <v>419</v>
      </c>
      <c r="N268" t="str">
        <f t="shared" si="33"/>
        <v/>
      </c>
      <c r="O268" t="str">
        <f t="shared" si="34"/>
        <v/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9" t="s">
        <v>419</v>
      </c>
      <c r="N269" t="str">
        <f t="shared" si="33"/>
        <v/>
      </c>
      <c r="O269" t="str">
        <f t="shared" si="34"/>
        <v/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9" t="s">
        <v>419</v>
      </c>
      <c r="N270" t="str">
        <f t="shared" si="33"/>
        <v/>
      </c>
      <c r="O270" t="str">
        <f t="shared" si="34"/>
        <v/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9" t="s">
        <v>419</v>
      </c>
      <c r="N271" t="str">
        <f t="shared" si="33"/>
        <v/>
      </c>
      <c r="O271" t="str">
        <f t="shared" si="34"/>
        <v/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9" t="s">
        <v>419</v>
      </c>
      <c r="N272" t="str">
        <f t="shared" si="33"/>
        <v/>
      </c>
      <c r="O272" t="str">
        <f t="shared" si="34"/>
        <v/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9" t="s">
        <v>419</v>
      </c>
      <c r="N273" t="str">
        <f t="shared" si="33"/>
        <v/>
      </c>
      <c r="O273" t="str">
        <f t="shared" si="34"/>
        <v/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9" t="s">
        <v>419</v>
      </c>
      <c r="N274" t="str">
        <f t="shared" si="33"/>
        <v/>
      </c>
      <c r="O274" t="str">
        <f t="shared" si="34"/>
        <v/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9" t="s">
        <v>419</v>
      </c>
      <c r="N275" t="str">
        <f t="shared" si="33"/>
        <v/>
      </c>
      <c r="O275" t="str">
        <f t="shared" si="34"/>
        <v/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9" t="s">
        <v>419</v>
      </c>
      <c r="N276" t="str">
        <f t="shared" si="33"/>
        <v/>
      </c>
      <c r="O276" t="str">
        <f t="shared" si="34"/>
        <v/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9" t="s">
        <v>419</v>
      </c>
      <c r="N277" t="str">
        <f t="shared" si="33"/>
        <v/>
      </c>
      <c r="O277" t="str">
        <f t="shared" si="34"/>
        <v/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9" t="s">
        <v>419</v>
      </c>
      <c r="N278" t="str">
        <f t="shared" si="33"/>
        <v/>
      </c>
      <c r="O278" t="str">
        <f t="shared" si="34"/>
        <v/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9" t="s">
        <v>419</v>
      </c>
      <c r="N279" t="str">
        <f t="shared" si="33"/>
        <v/>
      </c>
      <c r="O279" t="str">
        <f t="shared" si="34"/>
        <v/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9" t="s">
        <v>419</v>
      </c>
      <c r="N280" t="str">
        <f t="shared" si="33"/>
        <v/>
      </c>
      <c r="O280" t="str">
        <f t="shared" si="34"/>
        <v/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9" t="s">
        <v>419</v>
      </c>
      <c r="N281" t="str">
        <f t="shared" si="33"/>
        <v/>
      </c>
      <c r="O281" t="str">
        <f t="shared" si="34"/>
        <v/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9" t="s">
        <v>419</v>
      </c>
      <c r="N282" t="str">
        <f t="shared" si="33"/>
        <v/>
      </c>
      <c r="O282" t="str">
        <f t="shared" si="34"/>
        <v/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9" t="s">
        <v>419</v>
      </c>
      <c r="N283" t="str">
        <f t="shared" si="33"/>
        <v/>
      </c>
      <c r="O283" t="str">
        <f t="shared" si="34"/>
        <v/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9" t="s">
        <v>419</v>
      </c>
      <c r="N284" t="str">
        <f t="shared" si="33"/>
        <v/>
      </c>
      <c r="O284" t="str">
        <f t="shared" si="34"/>
        <v/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9" t="s">
        <v>419</v>
      </c>
      <c r="N285" t="str">
        <f t="shared" si="33"/>
        <v/>
      </c>
      <c r="O285" t="str">
        <f t="shared" si="34"/>
        <v/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9" t="s">
        <v>419</v>
      </c>
      <c r="N286" t="str">
        <f t="shared" si="33"/>
        <v/>
      </c>
      <c r="O286" t="str">
        <f t="shared" si="34"/>
        <v/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9" t="s">
        <v>419</v>
      </c>
      <c r="N287" t="str">
        <f t="shared" si="33"/>
        <v/>
      </c>
      <c r="O287" t="str">
        <f t="shared" si="34"/>
        <v/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9" t="s">
        <v>419</v>
      </c>
      <c r="N288" t="str">
        <f t="shared" si="33"/>
        <v/>
      </c>
      <c r="O288" t="str">
        <f t="shared" si="34"/>
        <v/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9" t="s">
        <v>419</v>
      </c>
      <c r="N289" t="str">
        <f t="shared" si="33"/>
        <v/>
      </c>
      <c r="O289" t="str">
        <f t="shared" si="34"/>
        <v/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9" t="s">
        <v>419</v>
      </c>
      <c r="N290" t="str">
        <f t="shared" si="33"/>
        <v/>
      </c>
      <c r="O290" t="str">
        <f t="shared" si="34"/>
        <v/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9" t="s">
        <v>419</v>
      </c>
      <c r="N291" t="str">
        <f t="shared" si="33"/>
        <v/>
      </c>
      <c r="O291" t="str">
        <f t="shared" si="34"/>
        <v/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9" t="s">
        <v>419</v>
      </c>
      <c r="N292" t="str">
        <f t="shared" si="33"/>
        <v/>
      </c>
      <c r="O292" t="str">
        <f t="shared" si="34"/>
        <v/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9" t="s">
        <v>419</v>
      </c>
      <c r="N293" t="str">
        <f t="shared" si="33"/>
        <v/>
      </c>
      <c r="O293" t="str">
        <f t="shared" si="34"/>
        <v/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9" t="s">
        <v>419</v>
      </c>
      <c r="N294" t="str">
        <f t="shared" si="33"/>
        <v/>
      </c>
      <c r="O294" t="str">
        <f t="shared" si="34"/>
        <v/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9" t="s">
        <v>419</v>
      </c>
      <c r="N295" t="str">
        <f t="shared" si="33"/>
        <v/>
      </c>
      <c r="O295" t="str">
        <f t="shared" si="34"/>
        <v/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9" t="s">
        <v>419</v>
      </c>
      <c r="N296" t="str">
        <f t="shared" si="33"/>
        <v/>
      </c>
      <c r="O296" t="str">
        <f t="shared" si="34"/>
        <v/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9" t="s">
        <v>419</v>
      </c>
      <c r="N297" t="str">
        <f t="shared" si="33"/>
        <v/>
      </c>
      <c r="O297" t="str">
        <f t="shared" si="34"/>
        <v/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9" t="s">
        <v>419</v>
      </c>
      <c r="N298" t="str">
        <f t="shared" si="33"/>
        <v/>
      </c>
      <c r="O298" t="str">
        <f t="shared" si="34"/>
        <v/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9" t="s">
        <v>419</v>
      </c>
      <c r="N299" t="str">
        <f t="shared" si="33"/>
        <v/>
      </c>
      <c r="O299" t="str">
        <f t="shared" si="34"/>
        <v/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9" t="s">
        <v>419</v>
      </c>
      <c r="N300" t="str">
        <f t="shared" si="33"/>
        <v/>
      </c>
      <c r="O300" t="str">
        <f t="shared" si="34"/>
        <v/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9" t="s">
        <v>419</v>
      </c>
      <c r="N301" t="str">
        <f t="shared" si="33"/>
        <v/>
      </c>
      <c r="O301" t="str">
        <f t="shared" si="34"/>
        <v/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9" t="s">
        <v>419</v>
      </c>
      <c r="N302" t="str">
        <f t="shared" si="33"/>
        <v/>
      </c>
      <c r="O302" t="str">
        <f t="shared" si="34"/>
        <v/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9" t="s">
        <v>419</v>
      </c>
      <c r="N303" t="str">
        <f t="shared" si="33"/>
        <v/>
      </c>
      <c r="O303" t="str">
        <f t="shared" si="34"/>
        <v/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9" t="s">
        <v>419</v>
      </c>
      <c r="N304" t="str">
        <f t="shared" si="33"/>
        <v/>
      </c>
      <c r="O304" t="str">
        <f t="shared" si="34"/>
        <v/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9" t="s">
        <v>419</v>
      </c>
      <c r="N305" t="str">
        <f t="shared" si="33"/>
        <v/>
      </c>
      <c r="O305" t="str">
        <f t="shared" si="34"/>
        <v/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9" t="s">
        <v>419</v>
      </c>
      <c r="N306" t="str">
        <f t="shared" si="33"/>
        <v/>
      </c>
      <c r="O306" t="str">
        <f t="shared" si="34"/>
        <v/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9" t="s">
        <v>419</v>
      </c>
      <c r="N307" t="str">
        <f t="shared" si="33"/>
        <v/>
      </c>
      <c r="O307" t="str">
        <f t="shared" si="34"/>
        <v/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9" t="s">
        <v>419</v>
      </c>
      <c r="N308" t="str">
        <f t="shared" si="33"/>
        <v/>
      </c>
      <c r="O308" t="str">
        <f t="shared" si="34"/>
        <v/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9" t="s">
        <v>419</v>
      </c>
      <c r="N309" t="str">
        <f t="shared" si="33"/>
        <v/>
      </c>
      <c r="O309" t="str">
        <f t="shared" si="34"/>
        <v/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9" t="s">
        <v>419</v>
      </c>
      <c r="N310" t="str">
        <f t="shared" si="33"/>
        <v/>
      </c>
      <c r="O310" t="str">
        <f t="shared" si="34"/>
        <v/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9" t="s">
        <v>419</v>
      </c>
      <c r="N311" t="str">
        <f t="shared" si="33"/>
        <v/>
      </c>
      <c r="O311" t="str">
        <f t="shared" si="34"/>
        <v/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9" t="s">
        <v>419</v>
      </c>
      <c r="N312" t="str">
        <f t="shared" si="33"/>
        <v/>
      </c>
      <c r="O312" t="str">
        <f t="shared" si="34"/>
        <v/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9" t="s">
        <v>419</v>
      </c>
      <c r="N313" t="str">
        <f t="shared" si="33"/>
        <v/>
      </c>
      <c r="O313" t="str">
        <f t="shared" si="34"/>
        <v/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9" t="s">
        <v>419</v>
      </c>
      <c r="N314" t="str">
        <f t="shared" si="33"/>
        <v/>
      </c>
      <c r="O314" t="str">
        <f t="shared" si="34"/>
        <v/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9" t="s">
        <v>419</v>
      </c>
      <c r="N315" t="str">
        <f t="shared" si="33"/>
        <v/>
      </c>
      <c r="O315" t="str">
        <f t="shared" si="34"/>
        <v/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9" t="s">
        <v>419</v>
      </c>
      <c r="N316" t="str">
        <f t="shared" si="33"/>
        <v/>
      </c>
      <c r="O316" t="str">
        <f t="shared" si="34"/>
        <v/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9" t="s">
        <v>419</v>
      </c>
      <c r="N317" t="str">
        <f t="shared" si="33"/>
        <v/>
      </c>
      <c r="O317" t="str">
        <f t="shared" si="34"/>
        <v/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9" t="s">
        <v>419</v>
      </c>
      <c r="N318" t="str">
        <f t="shared" si="33"/>
        <v/>
      </c>
      <c r="O318" t="str">
        <f t="shared" si="34"/>
        <v/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9" t="s">
        <v>419</v>
      </c>
      <c r="N319" t="str">
        <f t="shared" si="33"/>
        <v/>
      </c>
      <c r="O319" t="str">
        <f t="shared" si="34"/>
        <v/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9" t="s">
        <v>419</v>
      </c>
      <c r="N320" t="str">
        <f t="shared" si="33"/>
        <v/>
      </c>
      <c r="O320" t="str">
        <f t="shared" si="34"/>
        <v/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9" t="s">
        <v>419</v>
      </c>
      <c r="N321" t="str">
        <f t="shared" si="33"/>
        <v/>
      </c>
      <c r="O321" t="str">
        <f t="shared" si="34"/>
        <v/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9" t="s">
        <v>419</v>
      </c>
      <c r="N322" t="str">
        <f t="shared" si="33"/>
        <v/>
      </c>
      <c r="O322" t="str">
        <f t="shared" si="34"/>
        <v/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9" t="s">
        <v>419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9" t="s">
        <v>419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9" t="s">
        <v>419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9" customWidth="1"/>
    <col min="2" max="4" width="37.140625" style="139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9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9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14448</v>
      </c>
      <c r="O21" t="str">
        <f t="shared" si="7"/>
        <v>Σαμοθράκης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14478</v>
      </c>
      <c r="O22" t="str">
        <f t="shared" si="7"/>
        <v>Σουφλίου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14500</v>
      </c>
      <c r="O23" t="str">
        <f t="shared" si="7"/>
        <v>Τοπείρου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13928</v>
      </c>
      <c r="O26" t="str">
        <f t="shared" si="7"/>
        <v>Αγίου Δημητρίου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13934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13940</v>
      </c>
      <c r="O28" t="str">
        <f t="shared" si="7"/>
        <v>Αγκιστρίου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13946</v>
      </c>
      <c r="O29" t="str">
        <f t="shared" si="7"/>
        <v>Αθηναίων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13948</v>
      </c>
      <c r="O30" t="str">
        <f t="shared" si="7"/>
        <v>Αιγάλεω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13918</v>
      </c>
      <c r="O31" t="str">
        <f t="shared" si="7"/>
        <v>Αίγινας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13952</v>
      </c>
      <c r="O32" t="str">
        <f t="shared" si="7"/>
        <v>Αλίμου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13968</v>
      </c>
      <c r="O33" t="str">
        <f t="shared" si="7"/>
        <v>Αμαρουσίου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14008</v>
      </c>
      <c r="O34" t="str">
        <f t="shared" si="7"/>
        <v>Ασπροπύργου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14012</v>
      </c>
      <c r="O35" t="str">
        <f t="shared" si="7"/>
        <v>Αχαρνών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14014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14036</v>
      </c>
      <c r="O37" t="str">
        <f t="shared" si="7"/>
        <v>Βριλησσίων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14026</v>
      </c>
      <c r="O38" t="str">
        <f t="shared" si="7"/>
        <v>Βύρωνος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14042</v>
      </c>
      <c r="O39" t="str">
        <f t="shared" si="7"/>
        <v>Γαλατσίου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14046</v>
      </c>
      <c r="O40" t="str">
        <f t="shared" si="7"/>
        <v>Γλυφάδας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14052</v>
      </c>
      <c r="O41" t="str">
        <f t="shared" si="7"/>
        <v>Δάφνης - Υμηττού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14064</v>
      </c>
      <c r="O42" t="str">
        <f t="shared" si="7"/>
        <v>Διονύσου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14088</v>
      </c>
      <c r="O43" t="str">
        <f t="shared" si="7"/>
        <v>Ελευσίνας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14090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14118</v>
      </c>
      <c r="O45" t="str">
        <f t="shared" si="7"/>
        <v>Ζωγράφου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14122</v>
      </c>
      <c r="O46" t="str">
        <f t="shared" si="7"/>
        <v>Ηλιούπολης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21230</v>
      </c>
      <c r="O47" t="str">
        <f t="shared" si="7"/>
        <v>Ηρακλείου Αττικής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14154</v>
      </c>
      <c r="O48" t="str">
        <f t="shared" si="7"/>
        <v>Ιλίου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14176</v>
      </c>
      <c r="O49" t="str">
        <f t="shared" si="7"/>
        <v>Καισαριανής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14186</v>
      </c>
      <c r="O50" t="str">
        <f t="shared" si="7"/>
        <v>Καλλιθέας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14208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14212</v>
      </c>
      <c r="O52" t="str">
        <f t="shared" si="7"/>
        <v>Κηφισιάς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14230</v>
      </c>
      <c r="O53" t="str">
        <f t="shared" si="7"/>
        <v>Κορυδαλλού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14232</v>
      </c>
      <c r="O54" t="str">
        <f t="shared" si="7"/>
        <v>Κρωπίας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14234</v>
      </c>
      <c r="O55" t="str">
        <f t="shared" si="7"/>
        <v>Κυθήρων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14252</v>
      </c>
      <c r="O56" t="str">
        <f t="shared" si="7"/>
        <v>Λαυρεωτικής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14264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14266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14280</v>
      </c>
      <c r="O59" t="str">
        <f t="shared" si="7"/>
        <v>Μαραθώνος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14282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14292</v>
      </c>
      <c r="O61" t="str">
        <f t="shared" si="7"/>
        <v>Μεγαρέων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14296</v>
      </c>
      <c r="O62" t="str">
        <f t="shared" si="7"/>
        <v>Μεταμορφώσεως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14304</v>
      </c>
      <c r="O63" t="str">
        <f t="shared" si="7"/>
        <v>Μοσχάτου - Ταύρου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14320</v>
      </c>
      <c r="O64" t="str">
        <f t="shared" si="7"/>
        <v>Νέας Ιωνίας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14324</v>
      </c>
      <c r="O65" t="str">
        <f t="shared" si="7"/>
        <v>Νέας Σμύρνης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14328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14386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14390</v>
      </c>
      <c r="O68" t="str">
        <f t="shared" si="15"/>
        <v>Παλαιού Φαλήρου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14394</v>
      </c>
      <c r="O69" t="str">
        <f t="shared" si="15"/>
        <v>Παλλήνης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14398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14404</v>
      </c>
      <c r="O71" t="str">
        <f t="shared" si="15"/>
        <v>Πειραιώς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14406</v>
      </c>
      <c r="O72" t="str">
        <f t="shared" si="15"/>
        <v>Πεντέλης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14408</v>
      </c>
      <c r="O73" t="str">
        <f t="shared" si="15"/>
        <v>Περάματος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14410</v>
      </c>
      <c r="O74" t="str">
        <f t="shared" si="15"/>
        <v>Περιστερίου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14412</v>
      </c>
      <c r="O75" t="str">
        <f t="shared" si="15"/>
        <v>Πετρούπολης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14372</v>
      </c>
      <c r="O76" t="str">
        <f t="shared" si="15"/>
        <v>Πόρου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14434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14446</v>
      </c>
      <c r="O78" t="str">
        <f t="shared" si="15"/>
        <v>Σαλαμίνας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14450</v>
      </c>
      <c r="O79" t="str">
        <f t="shared" si="15"/>
        <v>Σαρωνικού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14484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14486</v>
      </c>
      <c r="O81" t="str">
        <f t="shared" si="15"/>
        <v>Σπετσών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14508</v>
      </c>
      <c r="O82" t="str">
        <f t="shared" si="15"/>
        <v>Τροιζηνίας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13916</v>
      </c>
      <c r="O83" t="str">
        <f t="shared" si="15"/>
        <v>Ύδρας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14518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14522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14530</v>
      </c>
      <c r="O86" t="str">
        <f t="shared" si="15"/>
        <v>Φυλής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14544</v>
      </c>
      <c r="O87" t="str">
        <f t="shared" si="15"/>
        <v>Χαϊδαρίου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14536</v>
      </c>
      <c r="O88" t="str">
        <f t="shared" si="15"/>
        <v>Χαλανδρίου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14552</v>
      </c>
      <c r="O89" t="str">
        <f t="shared" si="15"/>
        <v>Ωρωπού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13930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14152</v>
      </c>
      <c r="O91" t="str">
        <f t="shared" si="15"/>
        <v>Ικαρίας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14240</v>
      </c>
      <c r="O92" t="str">
        <f t="shared" si="15"/>
        <v>Λέσβου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14242</v>
      </c>
      <c r="O93" t="str">
        <f t="shared" si="15"/>
        <v>Λήμνου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14352</v>
      </c>
      <c r="O94" t="str">
        <f t="shared" si="15"/>
        <v>Οινουσσών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14438</v>
      </c>
      <c r="O95" t="str">
        <f t="shared" si="15"/>
        <v>Σάμου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14526</v>
      </c>
      <c r="O96" t="str">
        <f t="shared" si="15"/>
        <v>Φούρνων Κορσεών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14534</v>
      </c>
      <c r="O97" t="str">
        <f t="shared" si="15"/>
        <v>Χίου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14548</v>
      </c>
      <c r="O98" t="str">
        <f t="shared" si="15"/>
        <v>Ψαρών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13944</v>
      </c>
      <c r="O99" t="str">
        <f t="shared" si="15"/>
        <v>Αγρινίου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13950</v>
      </c>
      <c r="O100" t="str">
        <f t="shared" si="15"/>
        <v>Αιγιαλείας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13906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13980</v>
      </c>
      <c r="O102" t="str">
        <f t="shared" si="15"/>
        <v>Αμφιλοχίας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13988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13986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14004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14076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14102</v>
      </c>
      <c r="O107" t="str">
        <f t="shared" si="15"/>
        <v>Ερυμάνθου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14114</v>
      </c>
      <c r="O108" t="str">
        <f t="shared" si="15"/>
        <v>Ζαχάρως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13914</v>
      </c>
      <c r="O109" t="str">
        <f t="shared" si="15"/>
        <v>Ήλιδας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14132</v>
      </c>
      <c r="O110" t="str">
        <f t="shared" si="15"/>
        <v>Θέρμου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14146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14178</v>
      </c>
      <c r="O112" t="str">
        <f t="shared" si="15"/>
        <v>Καλαβρύτων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14332</v>
      </c>
      <c r="O113" t="str">
        <f t="shared" si="15"/>
        <v>Ναυπακτίας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14348</v>
      </c>
      <c r="O114" t="str">
        <f t="shared" si="15"/>
        <v>Ξηρομέρου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14402</v>
      </c>
      <c r="O115" t="str">
        <f t="shared" si="15"/>
        <v>Πατρέων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14414</v>
      </c>
      <c r="O116" t="str">
        <f t="shared" si="15"/>
        <v>Πηνειού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14380</v>
      </c>
      <c r="O117" t="str">
        <f t="shared" si="15"/>
        <v>Πύργου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13974</v>
      </c>
      <c r="O118" t="str">
        <f t="shared" si="15"/>
        <v>Αμυνταίου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14034</v>
      </c>
      <c r="O119" t="str">
        <f t="shared" si="15"/>
        <v>Βοϊου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14050</v>
      </c>
      <c r="O120" t="str">
        <f t="shared" si="15"/>
        <v>Γρεβενών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14060</v>
      </c>
      <c r="O121" t="str">
        <f t="shared" si="15"/>
        <v>Δεσκάτης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14094</v>
      </c>
      <c r="O122" t="str">
        <f t="shared" si="15"/>
        <v>Εορδαίας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14202</v>
      </c>
      <c r="O123" t="str">
        <f t="shared" si="15"/>
        <v>Καστοριάς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14222</v>
      </c>
      <c r="O124" t="str">
        <f t="shared" si="15"/>
        <v>Κοζάνης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14338</v>
      </c>
      <c r="O125" t="str">
        <f t="shared" si="15"/>
        <v>Νεστορίου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14356</v>
      </c>
      <c r="O126" t="str">
        <f t="shared" si="15"/>
        <v>Ορεστίδος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14422</v>
      </c>
      <c r="O127" t="str">
        <f t="shared" si="15"/>
        <v>Πρεσπών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14454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14524</v>
      </c>
      <c r="O129" t="str">
        <f t="shared" si="15"/>
        <v>Φλώρινας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14002</v>
      </c>
      <c r="O130" t="str">
        <f t="shared" si="15"/>
        <v>Αρταίων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14032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14044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14080</v>
      </c>
      <c r="O133" t="str">
        <f t="shared" si="23"/>
        <v>Δωδώνης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14110</v>
      </c>
      <c r="O134" t="str">
        <f t="shared" si="23"/>
        <v>Ζαγορίου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14116</v>
      </c>
      <c r="O135" t="str">
        <f t="shared" si="23"/>
        <v>Ζηρού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14106</v>
      </c>
      <c r="O136" t="str">
        <f t="shared" si="23"/>
        <v>Ζίτσας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14120</v>
      </c>
      <c r="O137" t="str">
        <f t="shared" si="23"/>
        <v>Ηγουμενίτσας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14158</v>
      </c>
      <c r="O138" t="str">
        <f t="shared" si="23"/>
        <v>Ιωαννιτών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14206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14168</v>
      </c>
      <c r="O140" t="str">
        <f t="shared" si="23"/>
        <v>Κόνιτσας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14298</v>
      </c>
      <c r="O141" t="str">
        <f t="shared" si="23"/>
        <v>Μετσόβου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14340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14364</v>
      </c>
      <c r="O143" t="str">
        <f t="shared" si="23"/>
        <v>Πάργας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14420</v>
      </c>
      <c r="O144" t="str">
        <f t="shared" si="23"/>
        <v>Πρέβεζας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14428</v>
      </c>
      <c r="O145" t="str">
        <f t="shared" si="23"/>
        <v>Πωγωνίου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14476</v>
      </c>
      <c r="O146" t="str">
        <f t="shared" si="23"/>
        <v>Σουλίου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14520</v>
      </c>
      <c r="O147" t="str">
        <f t="shared" si="23"/>
        <v>Φιλιατών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13960</v>
      </c>
      <c r="O149" t="str">
        <f t="shared" si="23"/>
        <v>Αλμυρού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13964</v>
      </c>
      <c r="O150" t="str">
        <f t="shared" si="23"/>
        <v>Αλοννήσου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13996</v>
      </c>
      <c r="O151" t="str">
        <f t="shared" si="23"/>
        <v>Αργιθέας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14022</v>
      </c>
      <c r="O152" t="str">
        <f t="shared" si="23"/>
        <v>Βόλου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14084</v>
      </c>
      <c r="O153" t="str">
        <f t="shared" si="23"/>
        <v>Ελασσόνας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14108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14184</v>
      </c>
      <c r="O155" t="str">
        <f t="shared" si="23"/>
        <v>Καλαμπάκας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14194</v>
      </c>
      <c r="O156" t="str">
        <f t="shared" si="23"/>
        <v>Καρδίτσας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14214</v>
      </c>
      <c r="O157" t="str">
        <f t="shared" si="23"/>
        <v>Κιλελέρ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14250</v>
      </c>
      <c r="O158" t="str">
        <f t="shared" si="23"/>
        <v>Λαρισαίων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14244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14306</v>
      </c>
      <c r="O160" t="str">
        <f t="shared" si="23"/>
        <v>Μουζακίου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14344</v>
      </c>
      <c r="O161" t="str">
        <f t="shared" si="23"/>
        <v>Νοτίου Πηλίου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14392</v>
      </c>
      <c r="O162" t="str">
        <f t="shared" si="23"/>
        <v>Παλαμά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14376</v>
      </c>
      <c r="O163" t="str">
        <f t="shared" si="23"/>
        <v>Πύλης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14430</v>
      </c>
      <c r="O164" t="str">
        <f t="shared" si="23"/>
        <v>Ρήγα Φερραίου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14472</v>
      </c>
      <c r="O165" t="str">
        <f t="shared" si="23"/>
        <v>Σκιάθου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14474</v>
      </c>
      <c r="O166" t="str">
        <f t="shared" si="23"/>
        <v>Σκοπέλου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14480</v>
      </c>
      <c r="O167" t="str">
        <f t="shared" si="23"/>
        <v>Σοφάδων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14498</v>
      </c>
      <c r="O168" t="str">
        <f t="shared" si="23"/>
        <v>Τεμπών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14504</v>
      </c>
      <c r="O169" t="str">
        <f t="shared" si="23"/>
        <v>Τρικκαίων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14510</v>
      </c>
      <c r="O170" t="str">
        <f t="shared" si="23"/>
        <v>Τυρνάβου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14514</v>
      </c>
      <c r="O171" t="str">
        <f t="shared" si="23"/>
        <v>Φαρκαδόνας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14516</v>
      </c>
      <c r="O172" t="str">
        <f t="shared" si="23"/>
        <v>Φαρσάλων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14112</v>
      </c>
      <c r="O173" t="str">
        <f t="shared" si="23"/>
        <v>Ζακύνθου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14150</v>
      </c>
      <c r="O174" t="str">
        <f t="shared" si="23"/>
        <v>Ιθάκης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14166</v>
      </c>
      <c r="O175" t="str">
        <f t="shared" si="23"/>
        <v>Κέρκυρας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14210</v>
      </c>
      <c r="O176" t="str">
        <f t="shared" si="23"/>
        <v>Κεφαλονιάς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14258</v>
      </c>
      <c r="O177" t="str">
        <f t="shared" si="23"/>
        <v>Λευκάδας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14290</v>
      </c>
      <c r="O178" t="str">
        <f t="shared" si="23"/>
        <v>Μεγανησίου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14396</v>
      </c>
      <c r="O179" t="str">
        <f t="shared" si="23"/>
        <v>Παξών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13954</v>
      </c>
      <c r="O180" t="str">
        <f t="shared" si="23"/>
        <v>Αλεξάνδρειας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13962</v>
      </c>
      <c r="O181" t="str">
        <f t="shared" si="23"/>
        <v>Αλμωπίας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13972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13978</v>
      </c>
      <c r="O183" t="str">
        <f t="shared" si="23"/>
        <v>Αμφίπολης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13998</v>
      </c>
      <c r="O184" t="str">
        <f t="shared" si="23"/>
        <v>Αριστοτέλη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14018</v>
      </c>
      <c r="O185" t="str">
        <f t="shared" si="23"/>
        <v>Βέροιας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14030</v>
      </c>
      <c r="O186" t="str">
        <f t="shared" si="23"/>
        <v>Βισαλτίας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14020</v>
      </c>
      <c r="O187" t="str">
        <f t="shared" si="23"/>
        <v>Βόλβης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14054</v>
      </c>
      <c r="O188" t="str">
        <f t="shared" si="23"/>
        <v>Δέλτα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14056</v>
      </c>
      <c r="O189" t="str">
        <f t="shared" si="23"/>
        <v>Δίου - Ολύμπου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13912</v>
      </c>
      <c r="O190" t="str">
        <f t="shared" si="23"/>
        <v>Έδεσσας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14092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14124</v>
      </c>
      <c r="O192" t="str">
        <f t="shared" si="23"/>
        <v>Ηρακλείας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14136</v>
      </c>
      <c r="O193" t="str">
        <f t="shared" si="23"/>
        <v>Θερμαϊκού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14130</v>
      </c>
      <c r="O194" t="str">
        <f t="shared" si="23"/>
        <v>Θέρμης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14182</v>
      </c>
      <c r="O196" t="str">
        <f t="shared" si="31"/>
        <v>Καλαμαριάς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14200</v>
      </c>
      <c r="O197" t="str">
        <f t="shared" si="31"/>
        <v>Κασσάνδρας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14204</v>
      </c>
      <c r="O198" t="str">
        <f t="shared" si="31"/>
        <v>Κατερίνης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14216</v>
      </c>
      <c r="O199" t="str">
        <f t="shared" si="31"/>
        <v>Κιλκίς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14226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14246</v>
      </c>
      <c r="O201" t="str">
        <f t="shared" si="31"/>
        <v>Λαγκαδά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14314</v>
      </c>
      <c r="O202" t="str">
        <f t="shared" si="31"/>
        <v>Νάουσας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14316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14318</v>
      </c>
      <c r="O204" t="str">
        <f t="shared" si="31"/>
        <v>Νέας Ζίχνης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14322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14388</v>
      </c>
      <c r="O206" t="str">
        <f t="shared" si="31"/>
        <v>Παιονίας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14382</v>
      </c>
      <c r="O207" t="str">
        <f t="shared" si="31"/>
        <v>Παύλου Μελά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14370</v>
      </c>
      <c r="O208" t="str">
        <f t="shared" si="31"/>
        <v>Πέλλας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14418</v>
      </c>
      <c r="O209" t="str">
        <f t="shared" si="31"/>
        <v>Πολυγύρου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14374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14426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14456</v>
      </c>
      <c r="O212" t="str">
        <f t="shared" si="31"/>
        <v>Σερρών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14460</v>
      </c>
      <c r="O213" t="str">
        <f t="shared" si="31"/>
        <v>Σιθωνίας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14466</v>
      </c>
      <c r="O214" t="str">
        <f t="shared" si="31"/>
        <v>Σιντικής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14468</v>
      </c>
      <c r="O215" t="str">
        <f t="shared" si="31"/>
        <v>Σκύδρας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14538</v>
      </c>
      <c r="O216" t="str">
        <f t="shared" si="31"/>
        <v>Χαλκηδόνος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14550</v>
      </c>
      <c r="O217" t="str">
        <f t="shared" si="31"/>
        <v>Ωραιοκάστρου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13926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13932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13966</v>
      </c>
      <c r="O220" t="str">
        <f t="shared" si="31"/>
        <v>Αμάριου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13992</v>
      </c>
      <c r="O221" t="str">
        <f t="shared" si="31"/>
        <v>Ανωγείων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13994</v>
      </c>
      <c r="O222" t="str">
        <f t="shared" si="31"/>
        <v>Αποκορώνου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14006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14028</v>
      </c>
      <c r="O224" t="str">
        <f t="shared" si="31"/>
        <v>Βιάννου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14040</v>
      </c>
      <c r="O225" t="str">
        <f t="shared" si="31"/>
        <v>Γαύδου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14038</v>
      </c>
      <c r="O226" t="str">
        <f t="shared" si="31"/>
        <v>Γόρτυνας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14126</v>
      </c>
      <c r="O227" t="str">
        <f t="shared" si="31"/>
        <v>Ηρακλείου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14144</v>
      </c>
      <c r="O228" t="str">
        <f t="shared" si="31"/>
        <v>Ιεράπετρας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14190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14220</v>
      </c>
      <c r="O230" t="str">
        <f t="shared" si="31"/>
        <v>Κισσάμου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14276</v>
      </c>
      <c r="O231" t="str">
        <f t="shared" si="31"/>
        <v>Μαλεβιζίου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14300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14310</v>
      </c>
      <c r="O233" t="str">
        <f t="shared" si="31"/>
        <v>Μυλοποτάμου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14360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14416</v>
      </c>
      <c r="O235" t="str">
        <f t="shared" si="31"/>
        <v>Πλατανιά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14436</v>
      </c>
      <c r="O236" t="str">
        <f t="shared" si="31"/>
        <v>Ρεθύμνης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14458</v>
      </c>
      <c r="O237" t="str">
        <f t="shared" si="31"/>
        <v>Σητείας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14490</v>
      </c>
      <c r="O238" t="str">
        <f t="shared" si="31"/>
        <v>Σφακίων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14512</v>
      </c>
      <c r="O239" t="str">
        <f t="shared" si="31"/>
        <v>Φαιστού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14542</v>
      </c>
      <c r="O240" t="str">
        <f t="shared" si="31"/>
        <v>Χανίων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14546</v>
      </c>
      <c r="O241" t="str">
        <f t="shared" si="31"/>
        <v>Χερσονήσου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13970</v>
      </c>
      <c r="O243" t="str">
        <f t="shared" si="31"/>
        <v>Αμοργού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13982</v>
      </c>
      <c r="O244" t="str">
        <f t="shared" si="31"/>
        <v>Ανάφης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13908</v>
      </c>
      <c r="O245" t="str">
        <f t="shared" si="31"/>
        <v>Άνδρου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13990</v>
      </c>
      <c r="O246" t="str">
        <f t="shared" si="31"/>
        <v>Αντιπάρου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14010</v>
      </c>
      <c r="O247" t="str">
        <f t="shared" si="31"/>
        <v>Αστυπαλαίας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14134</v>
      </c>
      <c r="O248" t="str">
        <f t="shared" si="31"/>
        <v>Θήρας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14148</v>
      </c>
      <c r="O249" t="str">
        <f t="shared" si="31"/>
        <v>Ιητών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14188</v>
      </c>
      <c r="O250" t="str">
        <f t="shared" si="31"/>
        <v>Καλυμνίων</v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14196</v>
      </c>
      <c r="O251" t="str">
        <f t="shared" si="31"/>
        <v>Καρπάθου</v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14160</v>
      </c>
      <c r="O252" t="str">
        <f t="shared" si="31"/>
        <v>Κάσου</v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14164</v>
      </c>
      <c r="O253" t="str">
        <f t="shared" si="31"/>
        <v>Κέας</v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14218</v>
      </c>
      <c r="O254" t="str">
        <f t="shared" si="31"/>
        <v>Κιμώλου</v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14170</v>
      </c>
      <c r="O255" t="str">
        <f t="shared" si="31"/>
        <v>Κύθνου</v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14236</v>
      </c>
      <c r="O256" t="str">
        <f t="shared" si="31"/>
        <v>Κω</v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14256</v>
      </c>
      <c r="O257" t="str">
        <f t="shared" si="31"/>
        <v>Λειψών</v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14238</v>
      </c>
      <c r="O258" t="str">
        <f t="shared" si="31"/>
        <v>Λέρου</v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14286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14268</v>
      </c>
      <c r="O260" t="str">
        <f t="shared" si="39"/>
        <v>Μήλου</v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14308</v>
      </c>
      <c r="O261" t="str">
        <f t="shared" si="39"/>
        <v>Μυκόνου</v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14312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14342</v>
      </c>
      <c r="O263" t="str">
        <f t="shared" si="39"/>
        <v>Νισύρου</v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14366</v>
      </c>
      <c r="O264" t="str">
        <f t="shared" si="39"/>
        <v>Πάρου</v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14368</v>
      </c>
      <c r="O265" t="str">
        <f t="shared" si="39"/>
        <v>Πάτμου</v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14432</v>
      </c>
      <c r="O266" t="str">
        <f t="shared" si="39"/>
        <v>Ρόδου</v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14452</v>
      </c>
      <c r="O267" t="str">
        <f t="shared" si="39"/>
        <v>Σερίφου</v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14462</v>
      </c>
      <c r="O268" t="str">
        <f t="shared" si="39"/>
        <v>Σικίνου</v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14440</v>
      </c>
      <c r="O269" t="str">
        <f t="shared" si="39"/>
        <v>Σίφνου</v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14442</v>
      </c>
      <c r="O270" t="str">
        <f t="shared" si="39"/>
        <v>Σύμης</v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14444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14492</v>
      </c>
      <c r="O272" t="str">
        <f t="shared" si="39"/>
        <v>Τήλου</v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14494</v>
      </c>
      <c r="O273" t="str">
        <f t="shared" si="39"/>
        <v>Τήνου</v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14528</v>
      </c>
      <c r="O274" t="str">
        <f t="shared" si="39"/>
        <v>Φολεγάνδρου</v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14532</v>
      </c>
      <c r="O275" t="str">
        <f t="shared" si="39"/>
        <v>Χάλκης</v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13984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13910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14016</v>
      </c>
      <c r="O278" t="str">
        <f t="shared" si="39"/>
        <v>Βέλου - Βόχας</v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14024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14048</v>
      </c>
      <c r="O280" t="str">
        <f t="shared" si="39"/>
        <v>Γορτυνίας</v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14078</v>
      </c>
      <c r="O281" t="str">
        <f t="shared" si="39"/>
        <v>Δυτικής Μάνης</v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14086</v>
      </c>
      <c r="O282" t="str">
        <f t="shared" si="39"/>
        <v>Ελαφονήσου</v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14096</v>
      </c>
      <c r="O283" t="str">
        <f t="shared" si="39"/>
        <v>Επιδαύρου</v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14100</v>
      </c>
      <c r="O284" t="str">
        <f t="shared" si="39"/>
        <v>Ερμιονίδας</v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14104</v>
      </c>
      <c r="O285" t="str">
        <f t="shared" si="39"/>
        <v>Ευρώτα</v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14180</v>
      </c>
      <c r="O286" t="str">
        <f t="shared" si="39"/>
        <v>Καλαμάτας</v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14228</v>
      </c>
      <c r="O287" t="str">
        <f t="shared" si="39"/>
        <v>Κορινθίων</v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14262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14288</v>
      </c>
      <c r="O289" t="str">
        <f t="shared" si="39"/>
        <v>Μεγαλόπολης</v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14294</v>
      </c>
      <c r="O290" t="str">
        <f t="shared" si="39"/>
        <v>Μεσσήνης</v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14302</v>
      </c>
      <c r="O291" t="str">
        <f t="shared" si="39"/>
        <v>Μονεμβασιάς</v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14334</v>
      </c>
      <c r="O292" t="str">
        <f t="shared" si="39"/>
        <v>Ναυπλιέων</v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14336</v>
      </c>
      <c r="O293" t="str">
        <f t="shared" si="39"/>
        <v>Νεμέας</v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14330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14350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14354</v>
      </c>
      <c r="O296" t="str">
        <f t="shared" si="39"/>
        <v>Οιχαλίας</v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14378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14464</v>
      </c>
      <c r="O298" t="str">
        <f t="shared" si="39"/>
        <v>Σικυωνίων</v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14482</v>
      </c>
      <c r="O299" t="str">
        <f t="shared" si="39"/>
        <v>Σπάρτης</v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14502</v>
      </c>
      <c r="O300" t="str">
        <f t="shared" si="39"/>
        <v>Τρίπολης</v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14506</v>
      </c>
      <c r="O301" t="str">
        <f t="shared" si="39"/>
        <v>Τριφυλίας</v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13942</v>
      </c>
      <c r="O302" t="str">
        <f t="shared" si="39"/>
        <v>Αγράφων</v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13958</v>
      </c>
      <c r="O303" t="str">
        <f t="shared" si="39"/>
        <v>Αλιάρτου</v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13976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14058</v>
      </c>
      <c r="O305" t="str">
        <f t="shared" si="39"/>
        <v>Δελφών</v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14066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14068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14070</v>
      </c>
      <c r="O308" t="str">
        <f t="shared" si="39"/>
        <v>Δομοκού</v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14082</v>
      </c>
      <c r="O309" t="str">
        <f t="shared" si="39"/>
        <v>Δωρίδος</v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14098</v>
      </c>
      <c r="O310" t="str">
        <f t="shared" si="39"/>
        <v>Ερέτριας</v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14140</v>
      </c>
      <c r="O311" t="str">
        <f t="shared" si="39"/>
        <v>Θηβαίων</v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14156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14198</v>
      </c>
      <c r="O313" t="str">
        <f t="shared" si="39"/>
        <v>Καρπενησίου</v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14192</v>
      </c>
      <c r="O314" t="str">
        <f t="shared" si="39"/>
        <v>Καρύστου</v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14172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14248</v>
      </c>
      <c r="O316" t="str">
        <f t="shared" si="39"/>
        <v>Λαμιέων</v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14254</v>
      </c>
      <c r="O317" t="str">
        <f t="shared" si="39"/>
        <v>Λεβαδέων</v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14260</v>
      </c>
      <c r="O318" t="str">
        <f t="shared" si="39"/>
        <v>Λοκρών</v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14274</v>
      </c>
      <c r="O319" t="str">
        <f t="shared" si="39"/>
        <v>Μακρακώμης</v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14278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14272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14362</v>
      </c>
      <c r="O322" t="str">
        <f t="shared" si="39"/>
        <v>Ορχομενού</v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14470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14488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14496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14540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80" zoomScaleNormal="80" workbookViewId="0">
      <selection activeCell="H10" sqref="H10"/>
    </sheetView>
  </sheetViews>
  <sheetFormatPr defaultColWidth="0" defaultRowHeight="15" zeroHeight="1" x14ac:dyDescent="0.25"/>
  <cols>
    <col min="1" max="1" width="24" style="133" customWidth="1"/>
    <col min="2" max="4" width="23" style="133" hidden="1" customWidth="1"/>
    <col min="5" max="5" width="52.85546875" style="133" customWidth="1"/>
    <col min="6" max="6" width="44.140625" style="133" customWidth="1"/>
    <col min="7" max="7" width="17.28515625" style="133" customWidth="1"/>
    <col min="8" max="8" width="36.42578125" style="133" customWidth="1"/>
    <col min="9" max="9" width="24" style="133" hidden="1" customWidth="1"/>
    <col min="10" max="10" width="33.85546875" style="133" customWidth="1"/>
    <col min="11" max="11" width="7.140625" style="133" customWidth="1"/>
    <col min="12" max="12" width="13" style="133" customWidth="1"/>
    <col min="13" max="13" width="58.85546875" style="133" customWidth="1"/>
    <col min="14" max="16384" width="9.140625" style="133" hidden="1"/>
  </cols>
  <sheetData>
    <row r="1" spans="1:13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6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OTE</v>
      </c>
      <c r="C3" s="152"/>
      <c r="D3" s="152"/>
      <c r="E3" s="98" t="s">
        <v>884</v>
      </c>
      <c r="F3" s="195" t="str">
        <f>F$5</f>
        <v>ΑΤΤΙΚΗΣ - ΑΘΗΝΑΙΩΝ, ΚΕΝΤΡΙΚΗΣ ΜΑΚΕΔΟΝΙΑΣ - ΒΙΣΑΛΤΙΑΣ, ΗΠΕΙΡΟΥ - ΙΩΑΝΝΙΤΩΝ, ΣΤΕΡΕΑΣ ΕΛΛΑΔΑΣ - ΛΟΚΡΩΝ, ΝΟΤΙΟΥ ΑΙΓΑΙΟΥ - ΘΗΡΑΣ</v>
      </c>
      <c r="G3" s="124" t="s">
        <v>461</v>
      </c>
      <c r="H3" s="128">
        <f>$H$5</f>
        <v>0.3473</v>
      </c>
      <c r="I3" s="190">
        <f>IF(ISNUMBER(H$5),ROUND(H$5,2),"")</f>
        <v>0.35</v>
      </c>
      <c r="J3" s="84"/>
      <c r="L3" s="86" t="str">
        <f>IF(M3="","","ΣΦΑΛΜΑ")</f>
        <v/>
      </c>
      <c r="M3" s="104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OTE</v>
      </c>
      <c r="C4" s="152"/>
      <c r="D4" s="152"/>
      <c r="E4" s="193" t="s">
        <v>886</v>
      </c>
      <c r="F4" s="195" t="str">
        <f>F$5</f>
        <v>ΑΤΤΙΚΗΣ - ΑΘΗΝΑΙΩΝ, ΚΕΝΤΡΙΚΗΣ ΜΑΚΕΔΟΝΙΑΣ - ΒΙΣΑΛΤΙΑΣ, ΗΠΕΙΡΟΥ - ΙΩΑΝΝΙΤΩΝ, ΣΤΕΡΕΑΣ ΕΛΛΑΔΑΣ - ΛΟΚΡΩΝ, ΝΟΤΙΟΥ ΑΙΓΑΙΟΥ - ΘΗΡΑΣ</v>
      </c>
      <c r="G4" s="194" t="s">
        <v>461</v>
      </c>
      <c r="H4" s="129">
        <f>$H$5</f>
        <v>0.3473</v>
      </c>
      <c r="I4" s="190">
        <f>IF(ISNUMBER(H$5),ROUND(H$5,2),"")</f>
        <v>0.35</v>
      </c>
      <c r="J4" s="160">
        <f t="shared" ref="J4:J11" si="2">J$3</f>
        <v>0</v>
      </c>
      <c r="L4" s="87" t="str">
        <f t="shared" ref="L4:L12" si="3">IF(M4="","","ΣΦΑΛΜΑ")</f>
        <v/>
      </c>
      <c r="M4" s="104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OTE</v>
      </c>
      <c r="C5" s="152">
        <v>15300</v>
      </c>
      <c r="D5" s="152" t="s">
        <v>486</v>
      </c>
      <c r="E5" s="193" t="s">
        <v>887</v>
      </c>
      <c r="F5" s="198" t="str">
        <f>CONCATENATE(E3,", ",E4,", ",E5,", ",E6,", ",E7)</f>
        <v>ΑΤΤΙΚΗΣ - ΑΘΗΝΑΙΩΝ, ΚΕΝΤΡΙΚΗΣ ΜΑΚΕΔΟΝΙΑΣ - ΒΙΣΑΛΤΙΑΣ, ΗΠΕΙΡΟΥ - ΙΩΑΝΝΙΤΩΝ, ΣΤΕΡΕΑΣ ΕΛΛΑΔΑΣ - ΛΟΚΡΩΝ, ΝΟΤΙΟΥ ΑΙΓΑΙΟΥ - ΘΗΡΑΣ</v>
      </c>
      <c r="G5" s="194" t="s">
        <v>461</v>
      </c>
      <c r="H5" s="127">
        <v>0.3473</v>
      </c>
      <c r="I5" s="190">
        <f>IF(ISNUMBER(H$5),ROUND(H$5,2),"")</f>
        <v>0.35</v>
      </c>
      <c r="J5" s="160">
        <f t="shared" si="2"/>
        <v>0</v>
      </c>
      <c r="L5" s="87" t="str">
        <f t="shared" si="3"/>
        <v/>
      </c>
      <c r="M5" s="104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5" t="str">
        <f t="shared" si="1"/>
        <v>OTE</v>
      </c>
      <c r="C6" s="152"/>
      <c r="D6" s="152"/>
      <c r="E6" s="193" t="s">
        <v>889</v>
      </c>
      <c r="F6" s="195" t="str">
        <f t="shared" ref="F6:F12" si="4">F$5</f>
        <v>ΑΤΤΙΚΗΣ - ΑΘΗΝΑΙΩΝ, ΚΕΝΤΡΙΚΗΣ ΜΑΚΕΔΟΝΙΑΣ - ΒΙΣΑΛΤΙΑΣ, ΗΠΕΙΡΟΥ - ΙΩΑΝΝΙΤΩΝ, ΣΤΕΡΕΑΣ ΕΛΛΑΔΑΣ - ΛΟΚΡΩΝ, ΝΟΤΙΟΥ ΑΙΓΑΙΟΥ - ΘΗΡΑΣ</v>
      </c>
      <c r="G6" s="194" t="s">
        <v>461</v>
      </c>
      <c r="H6" s="129">
        <f>$H$5</f>
        <v>0.3473</v>
      </c>
      <c r="I6" s="190">
        <f>IF(ISNUMBER(H$5),ROUND(H$5,2),"")</f>
        <v>0.35</v>
      </c>
      <c r="J6" s="160">
        <f t="shared" si="2"/>
        <v>0</v>
      </c>
      <c r="L6" s="87" t="str">
        <f t="shared" si="3"/>
        <v/>
      </c>
      <c r="M6" s="104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OTE</v>
      </c>
      <c r="C7" s="188"/>
      <c r="D7" s="188"/>
      <c r="E7" s="189" t="s">
        <v>888</v>
      </c>
      <c r="F7" s="196" t="str">
        <f t="shared" si="4"/>
        <v>ΑΤΤΙΚΗΣ - ΑΘΗΝΑΙΩΝ, ΚΕΝΤΡΙΚΗΣ ΜΑΚΕΔΟΝΙΑΣ - ΒΙΣΑΛΤΙΑΣ, ΗΠΕΙΡΟΥ - ΙΩΑΝΝΙΤΩΝ, ΣΤΕΡΕΑΣ ΕΛΛΑΔΑΣ - ΛΟΚΡΩΝ, ΝΟΤΙΟΥ ΑΙΓΑΙΟΥ - ΘΗΡΑΣ</v>
      </c>
      <c r="G7" s="74" t="s">
        <v>461</v>
      </c>
      <c r="H7" s="130">
        <f>$H$5</f>
        <v>0.3473</v>
      </c>
      <c r="I7" s="191">
        <f>IF(ISNUMBER(H$5),ROUND(H$5,2),"")</f>
        <v>0.35</v>
      </c>
      <c r="J7" s="161">
        <f t="shared" si="2"/>
        <v>0</v>
      </c>
      <c r="L7" s="87" t="str">
        <f t="shared" si="3"/>
        <v/>
      </c>
      <c r="M7" s="104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6" t="str">
        <f t="shared" si="1"/>
        <v>OTE</v>
      </c>
      <c r="C8" s="152"/>
      <c r="D8" s="152"/>
      <c r="E8" s="187" t="str">
        <f>IF(E3="","",E3)</f>
        <v>ΑΤΤΙΚΗΣ - ΑΘΗΝΑΙΩΝ</v>
      </c>
      <c r="F8" s="195" t="str">
        <f t="shared" si="4"/>
        <v>ΑΤΤΙΚΗΣ - ΑΘΗΝΑΙΩΝ, ΚΕΝΤΡΙΚΗΣ ΜΑΚΕΔΟΝΙΑΣ - ΒΙΣΑΛΤΙΑΣ, ΗΠΕΙΡΟΥ - ΙΩΑΝΝΙΤΩΝ, ΣΤΕΡΕΑΣ ΕΛΛΑΔΑΣ - ΛΟΚΡΩΝ, ΝΟΤΙΟΥ ΑΙΓΑΙΟΥ - ΘΗΡΑΣ</v>
      </c>
      <c r="G8" s="124" t="s">
        <v>462</v>
      </c>
      <c r="H8" s="129">
        <f>$H$10</f>
        <v>0.32</v>
      </c>
      <c r="I8" s="190">
        <f>IF(ISNUMBER(H$10),ROUND(H$10,2),"")</f>
        <v>0.32</v>
      </c>
      <c r="J8" s="160">
        <f t="shared" si="2"/>
        <v>0</v>
      </c>
      <c r="L8" s="87" t="str">
        <f t="shared" si="3"/>
        <v/>
      </c>
      <c r="M8" s="104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5" t="str">
        <f t="shared" si="1"/>
        <v>OTE</v>
      </c>
      <c r="C9" s="152"/>
      <c r="D9" s="152"/>
      <c r="E9" s="197" t="str">
        <f>IF(E4="","",E4)</f>
        <v>ΚΕΝΤΡΙΚΗΣ ΜΑΚΕΔΟΝΙΑΣ - ΒΙΣΑΛΤΙΑΣ</v>
      </c>
      <c r="F9" s="195" t="str">
        <f t="shared" si="4"/>
        <v>ΑΤΤΙΚΗΣ - ΑΘΗΝΑΙΩΝ, ΚΕΝΤΡΙΚΗΣ ΜΑΚΕΔΟΝΙΑΣ - ΒΙΣΑΛΤΙΑΣ, ΗΠΕΙΡΟΥ - ΙΩΑΝΝΙΤΩΝ, ΣΤΕΡΕΑΣ ΕΛΛΑΔΑΣ - ΛΟΚΡΩΝ, ΝΟΤΙΟΥ ΑΙΓΑΙΟΥ - ΘΗΡΑΣ</v>
      </c>
      <c r="G9" s="194" t="s">
        <v>462</v>
      </c>
      <c r="H9" s="129">
        <f>$H$10</f>
        <v>0.32</v>
      </c>
      <c r="I9" s="192">
        <f>IF(ISNUMBER(H$10),ROUND(H$10,2),"")</f>
        <v>0.32</v>
      </c>
      <c r="J9" s="160">
        <f t="shared" si="2"/>
        <v>0</v>
      </c>
      <c r="L9" s="87" t="str">
        <f t="shared" si="3"/>
        <v/>
      </c>
      <c r="M9" s="104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OTE</v>
      </c>
      <c r="C10" s="152">
        <v>15300</v>
      </c>
      <c r="D10" s="152" t="s">
        <v>486</v>
      </c>
      <c r="E10" s="197" t="str">
        <f>IF(E5="","",E5)</f>
        <v>ΗΠΕΙΡΟΥ - ΙΩΑΝΝΙΤΩΝ</v>
      </c>
      <c r="F10" s="199" t="str">
        <f>F5</f>
        <v>ΑΤΤΙΚΗΣ - ΑΘΗΝΑΙΩΝ, ΚΕΝΤΡΙΚΗΣ ΜΑΚΕΔΟΝΙΑΣ - ΒΙΣΑΛΤΙΑΣ, ΗΠΕΙΡΟΥ - ΙΩΑΝΝΙΤΩΝ, ΣΤΕΡΕΑΣ ΕΛΛΑΔΑΣ - ΛΟΚΡΩΝ, ΝΟΤΙΟΥ ΑΙΓΑΙΟΥ - ΘΗΡΑΣ</v>
      </c>
      <c r="G10" s="194" t="s">
        <v>462</v>
      </c>
      <c r="H10" s="127">
        <v>0.32</v>
      </c>
      <c r="I10" s="192">
        <f>IF(ISNUMBER(H$10),ROUND(H$10,2),"")</f>
        <v>0.32</v>
      </c>
      <c r="J10" s="160">
        <f t="shared" si="2"/>
        <v>0</v>
      </c>
      <c r="L10" s="87" t="str">
        <f t="shared" si="3"/>
        <v/>
      </c>
      <c r="M10" s="104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5" t="str">
        <f t="shared" si="1"/>
        <v>OTE</v>
      </c>
      <c r="C11" s="152"/>
      <c r="D11" s="152"/>
      <c r="E11" s="197" t="str">
        <f>IF(E6="","",E6)</f>
        <v>ΣΤΕΡΕΑΣ ΕΛΛΑΔΑΣ - ΛΟΚΡΩΝ</v>
      </c>
      <c r="F11" s="195" t="str">
        <f t="shared" si="4"/>
        <v>ΑΤΤΙΚΗΣ - ΑΘΗΝΑΙΩΝ, ΚΕΝΤΡΙΚΗΣ ΜΑΚΕΔΟΝΙΑΣ - ΒΙΣΑΛΤΙΑΣ, ΗΠΕΙΡΟΥ - ΙΩΑΝΝΙΤΩΝ, ΣΤΕΡΕΑΣ ΕΛΛΑΔΑΣ - ΛΟΚΡΩΝ, ΝΟΤΙΟΥ ΑΙΓΑΙΟΥ - ΘΗΡΑΣ</v>
      </c>
      <c r="G11" s="194" t="s">
        <v>462</v>
      </c>
      <c r="H11" s="129">
        <f>$H$10</f>
        <v>0.32</v>
      </c>
      <c r="I11" s="192">
        <f>IF(ISNUMBER(H$10),ROUND(H$10,2),"")</f>
        <v>0.32</v>
      </c>
      <c r="J11" s="160">
        <f t="shared" si="2"/>
        <v>0</v>
      </c>
      <c r="L11" s="87" t="str">
        <f t="shared" si="3"/>
        <v/>
      </c>
      <c r="M11" s="104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OTE</v>
      </c>
      <c r="C12" s="152"/>
      <c r="D12" s="152"/>
      <c r="E12" s="82" t="str">
        <f>IF(E7="","",E7)</f>
        <v>ΝΟΤΙΟΥ ΑΙΓΑΙΟΥ - ΘΗΡΑΣ</v>
      </c>
      <c r="F12" s="185" t="str">
        <f t="shared" si="4"/>
        <v>ΑΤΤΙΚΗΣ - ΑΘΗΝΑΙΩΝ, ΚΕΝΤΡΙΚΗΣ ΜΑΚΕΔΟΝΙΑΣ - ΒΙΣΑΛΤΙΑΣ, ΗΠΕΙΡΟΥ - ΙΩΑΝΝΙΤΩΝ, ΣΤΕΡΕΑΣ ΕΛΛΑΔΑΣ - ΛΟΚΡΩΝ, ΝΟΤΙΟΥ ΑΙΓΑΙΟΥ - ΘΗΡΑΣ</v>
      </c>
      <c r="G12" s="95" t="s">
        <v>462</v>
      </c>
      <c r="H12" s="130">
        <f>$H$10</f>
        <v>0.32</v>
      </c>
      <c r="I12" s="191">
        <f>IF(ISNUMBER(H$10),ROUND(H$10,2),"")</f>
        <v>0.32</v>
      </c>
      <c r="J12" s="161">
        <f>J$3</f>
        <v>0</v>
      </c>
      <c r="L12" s="88" t="str">
        <f t="shared" si="3"/>
        <v/>
      </c>
      <c r="M12" s="105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="80" zoomScaleNormal="80" workbookViewId="0">
      <selection activeCell="H3" sqref="H3"/>
    </sheetView>
  </sheetViews>
  <sheetFormatPr defaultColWidth="0" defaultRowHeight="15" zeroHeight="1" x14ac:dyDescent="0.25"/>
  <cols>
    <col min="1" max="1" width="50" style="139" customWidth="1"/>
    <col min="2" max="4" width="23" style="139" hidden="1" customWidth="1"/>
    <col min="5" max="5" width="38.140625" style="139" customWidth="1"/>
    <col min="6" max="6" width="36.85546875" style="139" customWidth="1"/>
    <col min="7" max="7" width="31.28515625" style="201" hidden="1" customWidth="1"/>
    <col min="8" max="8" width="31.28515625" style="139" customWidth="1"/>
    <col min="9" max="9" width="6.140625" style="139" customWidth="1"/>
    <col min="10" max="10" width="16.140625" style="139" customWidth="1"/>
    <col min="11" max="11" width="57" style="139" customWidth="1"/>
    <col min="12" max="13" width="9.140625" style="141" hidden="1" customWidth="1"/>
    <col min="14" max="15" width="0" style="141" hidden="1" customWidth="1"/>
    <col min="16" max="16384" width="9.140625" style="139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OTE</v>
      </c>
      <c r="C3" s="34" t="str">
        <f>IF(J3="",IF(ΓΕΝΙΚΑ!$B$17="ΝΑΙ",15300,""),"")</f>
        <v/>
      </c>
      <c r="D3" s="154" t="str">
        <f>IF(ΓΕΝΙΚΑ!$B$17="ΝΑΙ","ΠΑΝΕΛΛΑΔΙΚΑ","")</f>
        <v/>
      </c>
      <c r="E3" s="26" t="s">
        <v>486</v>
      </c>
      <c r="F3" s="55"/>
      <c r="G3" s="200" t="str">
        <f>IF(ISNUMBER(F3),ROUND(F3,2),"")</f>
        <v/>
      </c>
      <c r="H3" s="57" t="s">
        <v>883</v>
      </c>
      <c r="J3" s="93" t="str">
        <f>IF(K3="","","ΣΦΑΛΜΑ")</f>
        <v>ΣΦΑΛΜΑ</v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OTE</v>
      </c>
      <c r="C4" s="155" t="str">
        <f>IF(J4="",IF(ΓΕΝΙΚΑ!$B$17="ΝΑΙ",14664,""),"")</f>
        <v/>
      </c>
      <c r="D4" s="156" t="str">
        <f>IF(ΓΕΝΙΚΑ!$B$17="ΝΑΙ","Π. ΑΝΑΤΟΛΙΚΗΣ ΜΑΚΕΔΟΝΙΑΣ - ΘΡΑΚΗΣ","")</f>
        <v/>
      </c>
      <c r="E4" s="42" t="s">
        <v>38</v>
      </c>
      <c r="F4" s="58"/>
      <c r="G4" s="200" t="str">
        <f t="shared" ref="G4:G16" si="1">IF(ISNUMBER(F4),ROUND(F4,2),"")</f>
        <v/>
      </c>
      <c r="H4" s="160" t="str">
        <f>H$3</f>
        <v>ΕΤΗΣΙΟΣ ΔΕΙΚΤΗΣ</v>
      </c>
      <c r="J4" s="93" t="str">
        <f t="shared" ref="J4:J16" si="2">IF(K4="","","ΣΦΑΛΜΑ")</f>
        <v>ΣΦΑΛΜΑ</v>
      </c>
      <c r="K4" s="91" t="str">
        <f>IF(ΠΕΡΙΦΕΡΕΙΑ!B2&lt;&gt;"Καθόλου",L4,M4)</f>
        <v>Ποσοστό κοινοχρήστων τηλεφώνων σε κατάσταση λειτουργίας.</v>
      </c>
      <c r="L4" s="141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1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OTE</v>
      </c>
      <c r="C5" s="32" t="str">
        <f>IF(J5="",IF(ΓΕΝΙΚΑ!$B$17="ΝΑΙ",14666,""),"")</f>
        <v/>
      </c>
      <c r="D5" s="157" t="str">
        <f>IF(ΓΕΝΙΚΑ!$B$17="ΝΑΙ","Π. ΑΤΤΙΚΗΣ","")</f>
        <v/>
      </c>
      <c r="E5" s="8" t="s">
        <v>39</v>
      </c>
      <c r="F5" s="58"/>
      <c r="G5" s="200" t="str">
        <f t="shared" si="1"/>
        <v/>
      </c>
      <c r="H5" s="160" t="str">
        <f t="shared" ref="H5:H16" si="3">H$3</f>
        <v>ΕΤΗΣΙΟΣ ΔΕΙΚΤΗΣ</v>
      </c>
      <c r="J5" s="93" t="str">
        <f t="shared" si="2"/>
        <v>ΣΦΑΛΜΑ</v>
      </c>
      <c r="K5" s="91" t="str">
        <f>IF(ΠΕΡΙΦΕΡΕΙΑ!B3&lt;&gt;"Καθόλου",L5,M5)</f>
        <v>Ποσοστό κοινοχρήστων τηλεφώνων σε κατάσταση λειτουργίας.</v>
      </c>
      <c r="L5" s="141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1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OTE</v>
      </c>
      <c r="C6" s="155" t="str">
        <f>IF(J6="",IF(ΓΕΝΙΚΑ!$B$17="ΝΑΙ",14668,""),"")</f>
        <v/>
      </c>
      <c r="D6" s="156" t="str">
        <f>IF(ΓΕΝΙΚΑ!$B$17="ΝΑΙ","Π. ΒΟΡΕΙΟΥ ΑΙΓΑΙΟΥ","")</f>
        <v/>
      </c>
      <c r="E6" s="42" t="s">
        <v>403</v>
      </c>
      <c r="F6" s="58"/>
      <c r="G6" s="200" t="str">
        <f t="shared" si="1"/>
        <v/>
      </c>
      <c r="H6" s="160" t="str">
        <f t="shared" si="3"/>
        <v>ΕΤΗΣΙΟΣ ΔΕΙΚΤΗΣ</v>
      </c>
      <c r="J6" s="93" t="str">
        <f t="shared" si="2"/>
        <v>ΣΦΑΛΜΑ</v>
      </c>
      <c r="K6" s="91" t="str">
        <f>IF(ΠΕΡΙΦΕΡΕΙΑ!B4&lt;&gt;"Καθόλου",L6,M6)</f>
        <v>Ποσοστό κοινοχρήστων τηλεφώνων σε κατάσταση λειτουργίας.</v>
      </c>
      <c r="L6" s="141" t="str">
        <f t="shared" si="4"/>
        <v>Ποσοστό κοινοχρήστων τηλεφώνων σε κατάσταση λειτουργίας.</v>
      </c>
      <c r="M6" s="141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OTE</v>
      </c>
      <c r="C7" s="32" t="str">
        <f>IF(J7="",IF(ΓΕΝΙΚΑ!$B$17="ΝΑΙ",14670,""),"")</f>
        <v/>
      </c>
      <c r="D7" s="157" t="str">
        <f>IF(ΓΕΝΙΚΑ!$B$17="ΝΑΙ","Π. ΔΥΤΙΚΗΣ ΕΛΛΑΔΑΣ","")</f>
        <v/>
      </c>
      <c r="E7" s="8" t="s">
        <v>404</v>
      </c>
      <c r="F7" s="58"/>
      <c r="G7" s="200" t="str">
        <f t="shared" si="1"/>
        <v/>
      </c>
      <c r="H7" s="160" t="str">
        <f t="shared" si="3"/>
        <v>ΕΤΗΣΙΟΣ ΔΕΙΚΤΗΣ</v>
      </c>
      <c r="J7" s="93" t="str">
        <f t="shared" si="2"/>
        <v>ΣΦΑΛΜΑ</v>
      </c>
      <c r="K7" s="91" t="str">
        <f>IF(ΠΕΡΙΦΕΡΕΙΑ!B5&lt;&gt;"Καθόλου",L7,M7)</f>
        <v>Ποσοστό κοινοχρήστων τηλεφώνων σε κατάσταση λειτουργίας.</v>
      </c>
      <c r="L7" s="141" t="str">
        <f t="shared" si="4"/>
        <v>Ποσοστό κοινοχρήστων τηλεφώνων σε κατάσταση λειτουργίας.</v>
      </c>
      <c r="M7" s="141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OTE</v>
      </c>
      <c r="C8" s="155" t="str">
        <f>IF(J8="",IF(ΓΕΝΙΚΑ!$B$17="ΝΑΙ",14672,""),"")</f>
        <v/>
      </c>
      <c r="D8" s="156" t="str">
        <f>IF(ΓΕΝΙΚΑ!$B$17="ΝΑΙ","Π. ΔΥΤΙΚΗΣ ΜΑΚΕΔΟΝΙΑΣ","")</f>
        <v/>
      </c>
      <c r="E8" s="42" t="s">
        <v>405</v>
      </c>
      <c r="F8" s="58"/>
      <c r="G8" s="200" t="str">
        <f t="shared" si="1"/>
        <v/>
      </c>
      <c r="H8" s="160" t="str">
        <f t="shared" si="3"/>
        <v>ΕΤΗΣΙΟΣ ΔΕΙΚΤΗΣ</v>
      </c>
      <c r="J8" s="93" t="str">
        <f t="shared" si="2"/>
        <v>ΣΦΑΛΜΑ</v>
      </c>
      <c r="K8" s="91" t="str">
        <f>IF(ΠΕΡΙΦΕΡΕΙΑ!B6&lt;&gt;"Καθόλου",L8,M8)</f>
        <v>Ποσοστό κοινοχρήστων τηλεφώνων σε κατάσταση λειτουργίας.</v>
      </c>
      <c r="L8" s="141" t="str">
        <f t="shared" si="4"/>
        <v>Ποσοστό κοινοχρήστων τηλεφώνων σε κατάσταση λειτουργίας.</v>
      </c>
      <c r="M8" s="141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OTE</v>
      </c>
      <c r="C9" s="32" t="str">
        <f>IF(J9="",IF(ΓΕΝΙΚΑ!$B$17="ΝΑΙ",14674,""),"")</f>
        <v/>
      </c>
      <c r="D9" s="157" t="str">
        <f>IF(ΓΕΝΙΚΑ!$B$17="ΝΑΙ","Π. ΗΠΕΙΡΟΥ","")</f>
        <v/>
      </c>
      <c r="E9" s="8" t="s">
        <v>406</v>
      </c>
      <c r="F9" s="58"/>
      <c r="G9" s="200" t="str">
        <f t="shared" si="1"/>
        <v/>
      </c>
      <c r="H9" s="160" t="str">
        <f t="shared" si="3"/>
        <v>ΕΤΗΣΙΟΣ ΔΕΙΚΤΗΣ</v>
      </c>
      <c r="J9" s="93" t="str">
        <f t="shared" si="2"/>
        <v>ΣΦΑΛΜΑ</v>
      </c>
      <c r="K9" s="91" t="str">
        <f>IF(ΠΕΡΙΦΕΡΕΙΑ!B7&lt;&gt;"Καθόλου",L9,M9)</f>
        <v>Ποσοστό κοινοχρήστων τηλεφώνων σε κατάσταση λειτουργίας.</v>
      </c>
      <c r="L9" s="141" t="str">
        <f t="shared" si="4"/>
        <v>Ποσοστό κοινοχρήστων τηλεφώνων σε κατάσταση λειτουργίας.</v>
      </c>
      <c r="M9" s="141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OTE</v>
      </c>
      <c r="C10" s="155" t="str">
        <f>IF(J10="",IF(ΓΕΝΙΚΑ!$B$17="ΝΑΙ",14676,""),"")</f>
        <v/>
      </c>
      <c r="D10" s="156" t="str">
        <f>IF(ΓΕΝΙΚΑ!$B$17="ΝΑΙ","Π. ΘΕΣΣΑΛΙΑΣ","")</f>
        <v/>
      </c>
      <c r="E10" s="42" t="s">
        <v>407</v>
      </c>
      <c r="F10" s="58"/>
      <c r="G10" s="200" t="str">
        <f t="shared" si="1"/>
        <v/>
      </c>
      <c r="H10" s="160" t="str">
        <f t="shared" si="3"/>
        <v>ΕΤΗΣΙΟΣ ΔΕΙΚΤΗΣ</v>
      </c>
      <c r="J10" s="93" t="str">
        <f t="shared" si="2"/>
        <v>ΣΦΑΛΜΑ</v>
      </c>
      <c r="K10" s="91" t="str">
        <f>IF(ΠΕΡΙΦΕΡΕΙΑ!B8&lt;&gt;"Καθόλου",L10,M10)</f>
        <v>Ποσοστό κοινοχρήστων τηλεφώνων σε κατάσταση λειτουργίας.</v>
      </c>
      <c r="L10" s="141" t="str">
        <f t="shared" si="4"/>
        <v>Ποσοστό κοινοχρήστων τηλεφώνων σε κατάσταση λειτουργίας.</v>
      </c>
      <c r="M10" s="141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OTE</v>
      </c>
      <c r="C11" s="32" t="str">
        <f>IF(J11="",IF(ΓΕΝΙΚΑ!$B$17="ΝΑΙ",14678,""),"")</f>
        <v/>
      </c>
      <c r="D11" s="157" t="str">
        <f>IF(ΓΕΝΙΚΑ!$B$17="ΝΑΙ","Π. ΙΟΝΙΩΝ ΝΗΣΩΝ","")</f>
        <v/>
      </c>
      <c r="E11" s="8" t="s">
        <v>408</v>
      </c>
      <c r="F11" s="58"/>
      <c r="G11" s="200" t="str">
        <f t="shared" si="1"/>
        <v/>
      </c>
      <c r="H11" s="160" t="str">
        <f t="shared" si="3"/>
        <v>ΕΤΗΣΙΟΣ ΔΕΙΚΤΗΣ</v>
      </c>
      <c r="J11" s="93" t="str">
        <f t="shared" si="2"/>
        <v>ΣΦΑΛΜΑ</v>
      </c>
      <c r="K11" s="91" t="str">
        <f>IF(ΠΕΡΙΦΕΡΕΙΑ!B9&lt;&gt;"Καθόλου",L11,M11)</f>
        <v>Ποσοστό κοινοχρήστων τηλεφώνων σε κατάσταση λειτουργίας.</v>
      </c>
      <c r="L11" s="141" t="str">
        <f t="shared" si="4"/>
        <v>Ποσοστό κοινοχρήστων τηλεφώνων σε κατάσταση λειτουργίας.</v>
      </c>
      <c r="M11" s="141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OTE</v>
      </c>
      <c r="C12" s="155" t="str">
        <f>IF(J12="",IF(ΓΕΝΙΚΑ!$B$17="ΝΑΙ",14680,""),"")</f>
        <v/>
      </c>
      <c r="D12" s="156" t="str">
        <f>IF(ΓΕΝΙΚΑ!$B$17="ΝΑΙ","Π. ΚΕΝΤΡΙΚΗΣ ΜΑΚΕΔΟΝΙΑΣ","")</f>
        <v/>
      </c>
      <c r="E12" s="42" t="s">
        <v>409</v>
      </c>
      <c r="F12" s="58"/>
      <c r="G12" s="200" t="str">
        <f t="shared" si="1"/>
        <v/>
      </c>
      <c r="H12" s="160" t="str">
        <f t="shared" si="3"/>
        <v>ΕΤΗΣΙΟΣ ΔΕΙΚΤΗΣ</v>
      </c>
      <c r="J12" s="93" t="str">
        <f t="shared" si="2"/>
        <v>ΣΦΑΛΜΑ</v>
      </c>
      <c r="K12" s="91" t="str">
        <f>IF(ΠΕΡΙΦΕΡΕΙΑ!B10&lt;&gt;"Καθόλου",L12,M12)</f>
        <v>Ποσοστό κοινοχρήστων τηλεφώνων σε κατάσταση λειτουργίας.</v>
      </c>
      <c r="L12" s="141" t="str">
        <f t="shared" si="4"/>
        <v>Ποσοστό κοινοχρήστων τηλεφώνων σε κατάσταση λειτουργίας.</v>
      </c>
      <c r="M12" s="141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OTE</v>
      </c>
      <c r="C13" s="32" t="str">
        <f>IF(J13="",IF(ΓΕΝΙΚΑ!$B$17="ΝΑΙ",14682,""),"")</f>
        <v/>
      </c>
      <c r="D13" s="157" t="str">
        <f>IF(ΓΕΝΙΚΑ!$B$17="ΝΑΙ","Π. ΚΡΗΤΗΣ","")</f>
        <v/>
      </c>
      <c r="E13" s="8" t="s">
        <v>410</v>
      </c>
      <c r="F13" s="58"/>
      <c r="G13" s="200" t="str">
        <f t="shared" si="1"/>
        <v/>
      </c>
      <c r="H13" s="160" t="str">
        <f t="shared" si="3"/>
        <v>ΕΤΗΣΙΟΣ ΔΕΙΚΤΗΣ</v>
      </c>
      <c r="J13" s="93" t="str">
        <f t="shared" si="2"/>
        <v>ΣΦΑΛΜΑ</v>
      </c>
      <c r="K13" s="91" t="str">
        <f>IF(ΠΕΡΙΦΕΡΕΙΑ!B11&lt;&gt;"Καθόλου",L13,M13)</f>
        <v>Ποσοστό κοινοχρήστων τηλεφώνων σε κατάσταση λειτουργίας.</v>
      </c>
      <c r="L13" s="141" t="str">
        <f t="shared" si="4"/>
        <v>Ποσοστό κοινοχρήστων τηλεφώνων σε κατάσταση λειτουργίας.</v>
      </c>
      <c r="M13" s="141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OTE</v>
      </c>
      <c r="C14" s="155" t="str">
        <f>IF(J14="",IF(ΓΕΝΙΚΑ!$B$17="ΝΑΙ",14684,""),"")</f>
        <v/>
      </c>
      <c r="D14" s="156" t="str">
        <f>IF(ΓΕΝΙΚΑ!$B$17="ΝΑΙ","Π. ΝΟΤΙΟΥ ΑΙΓΑΙΟΥ","")</f>
        <v/>
      </c>
      <c r="E14" s="42" t="s">
        <v>411</v>
      </c>
      <c r="F14" s="58"/>
      <c r="G14" s="200" t="str">
        <f t="shared" si="1"/>
        <v/>
      </c>
      <c r="H14" s="160" t="str">
        <f t="shared" si="3"/>
        <v>ΕΤΗΣΙΟΣ ΔΕΙΚΤΗΣ</v>
      </c>
      <c r="J14" s="93" t="str">
        <f t="shared" si="2"/>
        <v>ΣΦΑΛΜΑ</v>
      </c>
      <c r="K14" s="91" t="str">
        <f>IF(ΠΕΡΙΦΕΡΕΙΑ!B12&lt;&gt;"Καθόλου",L14,M14)</f>
        <v>Ποσοστό κοινοχρήστων τηλεφώνων σε κατάσταση λειτουργίας.</v>
      </c>
      <c r="L14" s="141" t="str">
        <f t="shared" si="4"/>
        <v>Ποσοστό κοινοχρήστων τηλεφώνων σε κατάσταση λειτουργίας.</v>
      </c>
      <c r="M14" s="141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OTE</v>
      </c>
      <c r="C15" s="32" t="str">
        <f>IF(J15="",IF(ΓΕΝΙΚΑ!$B$17="ΝΑΙ",14686,""),"")</f>
        <v/>
      </c>
      <c r="D15" s="157" t="str">
        <f>IF(ΓΕΝΙΚΑ!$B$17="ΝΑΙ","Π. ΠΕΛΟΠΟΝΝΗΣΟΥ","")</f>
        <v/>
      </c>
      <c r="E15" s="8" t="s">
        <v>412</v>
      </c>
      <c r="F15" s="58"/>
      <c r="G15" s="200" t="str">
        <f t="shared" si="1"/>
        <v/>
      </c>
      <c r="H15" s="160" t="str">
        <f t="shared" si="3"/>
        <v>ΕΤΗΣΙΟΣ ΔΕΙΚΤΗΣ</v>
      </c>
      <c r="J15" s="93" t="str">
        <f t="shared" si="2"/>
        <v>ΣΦΑΛΜΑ</v>
      </c>
      <c r="K15" s="91" t="str">
        <f>IF(ΠΕΡΙΦΕΡΕΙΑ!B13&lt;&gt;"Καθόλου",L15,M15)</f>
        <v>Ποσοστό κοινοχρήστων τηλεφώνων σε κατάσταση λειτουργίας.</v>
      </c>
      <c r="L15" s="141" t="str">
        <f t="shared" si="4"/>
        <v>Ποσοστό κοινοχρήστων τηλεφώνων σε κατάσταση λειτουργίας.</v>
      </c>
      <c r="M15" s="141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OTE</v>
      </c>
      <c r="C16" s="158" t="str">
        <f>IF(J16="",IF(ΓΕΝΙΚΑ!$B$17="ΝΑΙ",14688,""),"")</f>
        <v/>
      </c>
      <c r="D16" s="159" t="str">
        <f>IF(ΓΕΝΙΚΑ!$B$17="ΝΑΙ","Π. ΣΤΕΡΕΑΣ ΕΛΛΑΔΑΣ","")</f>
        <v/>
      </c>
      <c r="E16" s="43" t="s">
        <v>413</v>
      </c>
      <c r="F16" s="59"/>
      <c r="G16" s="200" t="str">
        <f t="shared" si="1"/>
        <v/>
      </c>
      <c r="H16" s="161" t="str">
        <f t="shared" si="3"/>
        <v>ΕΤΗΣΙΟΣ ΔΕΙΚΤΗΣ</v>
      </c>
      <c r="J16" s="88" t="str">
        <f t="shared" si="2"/>
        <v>ΣΦΑΛΜΑ</v>
      </c>
      <c r="K16" s="92" t="str">
        <f>IF(ΠΕΡΙΦΕΡΕΙΑ!B14&lt;&gt;"Καθόλου",L16,M16)</f>
        <v>Ποσοστό κοινοχρήστων τηλεφώνων σε κατάσταση λειτουργίας.</v>
      </c>
      <c r="L16" s="141" t="str">
        <f t="shared" si="4"/>
        <v>Ποσοστό κοινοχρήστων τηλεφώνων σε κατάσταση λειτουργίας.</v>
      </c>
      <c r="M16" s="141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="80" zoomScaleNormal="80" workbookViewId="0">
      <selection activeCell="H5" sqref="H5"/>
    </sheetView>
  </sheetViews>
  <sheetFormatPr defaultColWidth="0" defaultRowHeight="15" zeroHeight="1" x14ac:dyDescent="0.25"/>
  <cols>
    <col min="1" max="1" width="50" style="139" customWidth="1"/>
    <col min="2" max="2" width="23" style="139" hidden="1" customWidth="1"/>
    <col min="3" max="3" width="31.42578125" style="139" customWidth="1"/>
    <col min="4" max="5" width="27.7109375" style="139" hidden="1" customWidth="1"/>
    <col min="6" max="6" width="42.7109375" style="139" customWidth="1"/>
    <col min="7" max="7" width="21.5703125" style="139" customWidth="1"/>
    <col min="8" max="8" width="23.7109375" style="139" customWidth="1"/>
    <col min="9" max="9" width="33.28515625" style="139" customWidth="1"/>
    <col min="10" max="11" width="23.7109375" style="139" hidden="1" customWidth="1"/>
    <col min="12" max="12" width="17.28515625" style="139" customWidth="1"/>
    <col min="13" max="13" width="39.85546875" style="139" customWidth="1"/>
    <col min="14" max="14" width="7.140625" style="139" customWidth="1"/>
    <col min="15" max="15" width="17.42578125" style="139" customWidth="1"/>
    <col min="16" max="16" width="62.85546875" style="139" customWidth="1"/>
    <col min="17" max="16384" width="9.140625" style="139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3" t="s">
        <v>538</v>
      </c>
      <c r="E1" s="153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8" t="e">
        <f>#REF!</f>
        <v>#REF!</v>
      </c>
      <c r="B3" s="24" t="e">
        <f>#REF!</f>
        <v>#REF!</v>
      </c>
      <c r="C3" s="134">
        <v>1</v>
      </c>
      <c r="D3" s="162">
        <f>IF(O3="",IF(ΓΕΝΙΚΑ!$B$18="ΝΑΙ",_xlfn.IFNA(INDEX(OrchardIDnai,MATCH(F3,DimosNameNai,0)),""),""),"")</f>
        <v>13946</v>
      </c>
      <c r="E3" s="162" t="str">
        <f>IF(ΓΕΝΙΚΑ!$B$18="ΝΑΙ",_xlfn.IFNA(INDEX(OrchardNameNai,MATCH(F3,DimosNameNai,0)),""),"")</f>
        <v>Αθηναίων</v>
      </c>
      <c r="F3" s="106" t="s">
        <v>884</v>
      </c>
      <c r="G3" s="180" t="s">
        <v>442</v>
      </c>
      <c r="H3" s="99" t="s">
        <v>429</v>
      </c>
      <c r="I3" s="100"/>
      <c r="J3" s="26" t="str">
        <f>IF(H3="","",IF(H3="Άλλο",IF(I3="","",I3),TEXT(H3,)))</f>
        <v>POTS</v>
      </c>
      <c r="K3" s="125">
        <f>IF(L3="ΠΟΛΥ ΥΨΗΛΗ", 5,IF(L3="ΥΨΗΛΗ",4,IF(L3="ΜΕΣΗ",3,IF(L3="ΧΑΜΗΛΗ",2,IF(L3="ΠΟΛΥ ΧΑΜΗΛΗ",1,0)))))</f>
        <v>5</v>
      </c>
      <c r="L3" s="101" t="s">
        <v>423</v>
      </c>
      <c r="M3" s="169"/>
      <c r="O3" s="93" t="str">
        <f>IF(P3="","","ΣΦΑΛΜΑ")</f>
        <v/>
      </c>
      <c r="P3" s="137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8" t="e">
        <f>#REF!</f>
        <v>#REF!</v>
      </c>
      <c r="B4" s="24" t="e">
        <f>#REF!</f>
        <v>#REF!</v>
      </c>
      <c r="C4" s="143">
        <v>1</v>
      </c>
      <c r="D4" s="162">
        <f>IF(O4="",IF(ΓΕΝΙΚΑ!$B$18="ΝΑΙ",_xlfn.IFNA(INDEX(OrchardIDnai,MATCH(F4,DimosNameNai,0)),""),""),"")</f>
        <v>13968</v>
      </c>
      <c r="E4" s="162" t="str">
        <f>IF(ΓΕΝΙΚΑ!$B$18="ΝΑΙ",_xlfn.IFNA(INDEX(OrchardNameNai,MATCH(F4,DimosNameNai,0)),""),"")</f>
        <v>Αμαρουσίου</v>
      </c>
      <c r="F4" s="144" t="s">
        <v>885</v>
      </c>
      <c r="G4" s="145" t="s">
        <v>443</v>
      </c>
      <c r="H4" s="146" t="str">
        <f>TEXT(H3,)</f>
        <v>POTS</v>
      </c>
      <c r="I4" s="8" t="str">
        <f>TEXT($I$3,"")</f>
        <v/>
      </c>
      <c r="J4" s="124" t="str">
        <f>$J$3</f>
        <v>POTS</v>
      </c>
      <c r="K4" s="125">
        <f>IF(L4="ΠΟΛΥ ΥΨΗΛΗ", 5,IF(L4="ΥΨΗΛΗ",4,IF(L4="ΜΕΣΗ",3,IF(L4="ΧΑΜΗΛΗ",2,IF(L4="ΠΟΛΥ ΧΑΜΗΛΗ",1,0)))))</f>
        <v>5</v>
      </c>
      <c r="L4" s="147" t="str">
        <f>TEXT($L$3,)</f>
        <v>ΠΟΛΥ ΥΨΗΛΗ</v>
      </c>
      <c r="M4" s="178">
        <f>M3</f>
        <v>0</v>
      </c>
      <c r="O4" s="93" t="str">
        <f>IF(P4="","","ΣΦΑΛΜΑ")</f>
        <v/>
      </c>
      <c r="P4" s="137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8" t="e">
        <f>#REF!</f>
        <v>#REF!</v>
      </c>
      <c r="B5" s="24" t="e">
        <f>#REF!</f>
        <v>#REF!</v>
      </c>
      <c r="C5" s="136">
        <v>2</v>
      </c>
      <c r="D5" s="162">
        <f>IF(O5="",IF(ΓΕΝΙΚΑ!$B$18="ΝΑΙ",_xlfn.IFNA(INDEX(OrchardIDnai,MATCH(F5,DimosNameNai,0)),""),""),"")</f>
        <v>14030</v>
      </c>
      <c r="E5" s="162" t="str">
        <f>IF(ΓΕΝΙΚΑ!$B$18="ΝΑΙ",_xlfn.IFNA(INDEX(OrchardNameNai,MATCH(F5,DimosNameNai,0)),""),"")</f>
        <v>Βισαλτίας</v>
      </c>
      <c r="F5" s="142" t="s">
        <v>886</v>
      </c>
      <c r="G5" s="131" t="s">
        <v>442</v>
      </c>
      <c r="H5" s="103" t="s">
        <v>429</v>
      </c>
      <c r="I5" s="102"/>
      <c r="J5" s="39" t="str">
        <f>IF(H5="","",IF(H5="Άλλο",IF(I5="","",I5),TEXT(H5,"")))</f>
        <v>POTS</v>
      </c>
      <c r="K5" s="74">
        <f>IF(L5="ΠΟΛΥ ΥΨΗΛΗ", 5,IF(L5="ΥΨΗΛΗ",4,IF(L5="ΜΕΣΗ",3,IF(L5="ΧΑΜΗΛΗ",2,IF(L5="ΠΟΛΥ ΧΑΜΗΛΗ",1,0)))))</f>
        <v>5</v>
      </c>
      <c r="L5" s="101" t="s">
        <v>423</v>
      </c>
      <c r="M5" s="178">
        <f>M3</f>
        <v>0</v>
      </c>
      <c r="O5" s="93" t="str">
        <f>IF(P5="","","ΣΦΑΛΜΑ")</f>
        <v/>
      </c>
      <c r="P5" s="137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9" t="e">
        <f>#REF!</f>
        <v>#REF!</v>
      </c>
      <c r="B6" s="29" t="e">
        <f>#REF!</f>
        <v>#REF!</v>
      </c>
      <c r="C6" s="135">
        <f>IF(ISNUMBER(C$5),C$5,"")</f>
        <v>2</v>
      </c>
      <c r="D6" s="162">
        <f>IF(O6="",IF(ΓΕΝΙΚΑ!$B$18="ΝΑΙ",_xlfn.IFNA(INDEX(OrchardIDnai,MATCH(F6,DimosNameNai,0)),""),""),"")</f>
        <v>13946</v>
      </c>
      <c r="E6" s="162" t="str">
        <f>IF(ΓΕΝΙΚΑ!$B$18="ΝΑΙ",_xlfn.IFNA(INDEX(OrchardNameNai,MATCH(F6,DimosNameNai,0)),""),"")</f>
        <v>Αθηναίων</v>
      </c>
      <c r="F6" s="107" t="s">
        <v>884</v>
      </c>
      <c r="G6" s="132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4">
        <f>IF(L6="ΠΟΛΥ ΥΨΗΛΗ", 5,IF(L6="ΥΨΗΛΗ",4,IF(L6="ΜΕΣΗ",3,IF(L6="ΧΑΜΗΛΗ",2,IF(L6="ΠΟΛΥ ΧΑΜΗΛΗ",1,0)))))</f>
        <v>5</v>
      </c>
      <c r="L6" s="44" t="str">
        <f>TEXT($L$5,)</f>
        <v>ΠΟΛΥ ΥΨΗΛΗ</v>
      </c>
      <c r="M6" s="179">
        <f>M3</f>
        <v>0</v>
      </c>
      <c r="O6" s="97" t="str">
        <f>IF(P6="","","ΣΦΑΛΜΑ")</f>
        <v/>
      </c>
      <c r="P6" s="138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="63" zoomScaleNormal="63" workbookViewId="0">
      <selection activeCell="G30" sqref="G30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33.140625" customWidth="1"/>
    <col min="7" max="7" width="25.5703125" customWidth="1"/>
    <col min="8" max="8" width="17" style="202" hidden="1" customWidth="1"/>
    <col min="9" max="9" width="33.5703125" customWidth="1"/>
    <col min="10" max="10" width="18.7109375" hidden="1" customWidth="1"/>
    <col min="11" max="11" width="29" customWidth="1"/>
    <col min="12" max="12" width="32.140625" customWidth="1"/>
    <col min="13" max="13" width="31" style="202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9" customFormat="1" ht="15.75" hidden="1" thickBot="1" x14ac:dyDescent="0.3">
      <c r="A1" t="s">
        <v>478</v>
      </c>
      <c r="B1" s="11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s="111" t="s">
        <v>491</v>
      </c>
      <c r="I1" t="s">
        <v>482</v>
      </c>
      <c r="J1" t="s">
        <v>492</v>
      </c>
      <c r="K1" s="111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1"/>
      <c r="U1" s="141"/>
      <c r="V1" s="141"/>
      <c r="W1" s="141"/>
      <c r="X1" s="141"/>
    </row>
    <row r="2" spans="1:25" s="13" customFormat="1" ht="104.25" customHeight="1" thickBot="1" x14ac:dyDescent="0.3">
      <c r="A2" s="3" t="s">
        <v>421</v>
      </c>
      <c r="B2" s="112" t="s">
        <v>27</v>
      </c>
      <c r="C2" s="112"/>
      <c r="D2" s="112"/>
      <c r="E2" s="4" t="s">
        <v>473</v>
      </c>
      <c r="F2" s="4" t="s">
        <v>512</v>
      </c>
      <c r="G2" s="4" t="s">
        <v>513</v>
      </c>
      <c r="H2" s="112" t="s">
        <v>513</v>
      </c>
      <c r="I2" s="76" t="s">
        <v>864</v>
      </c>
      <c r="J2" s="76" t="s">
        <v>509</v>
      </c>
      <c r="K2" s="116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9"/>
      <c r="R2" s="89" t="s">
        <v>448</v>
      </c>
      <c r="S2" s="90" t="s">
        <v>525</v>
      </c>
      <c r="T2" s="90" t="s">
        <v>525</v>
      </c>
      <c r="U2" s="90" t="s">
        <v>525</v>
      </c>
      <c r="V2" s="182" t="s">
        <v>534</v>
      </c>
      <c r="W2" s="182" t="s">
        <v>535</v>
      </c>
      <c r="X2" s="90" t="s">
        <v>525</v>
      </c>
      <c r="Y2" s="90" t="s">
        <v>525</v>
      </c>
    </row>
    <row r="3" spans="1:25" s="13" customFormat="1" ht="106.5" thickTop="1" thickBot="1" x14ac:dyDescent="0.3">
      <c r="A3" s="25" t="s">
        <v>477</v>
      </c>
      <c r="B3" s="120" t="str">
        <f>ΓΕΝΙΚΑ!$C$4</f>
        <v>OTE</v>
      </c>
      <c r="C3" s="34">
        <f>IF(R3="",IF(ΓΕΝΙΚΑ!$B$19="ΝΑΙ",15300,""),"")</f>
        <v>15300</v>
      </c>
      <c r="D3" s="154" t="str">
        <f>IF(ΓΕΝΙΚΑ!$B$19="ΝΑΙ","ΠΑΝΕΛΛΑΔΙΚΑ","")</f>
        <v>ΠΑΝΕΛΛΑΔΙΚΑ</v>
      </c>
      <c r="E3" s="71" t="s">
        <v>486</v>
      </c>
      <c r="F3" s="45">
        <v>50</v>
      </c>
      <c r="G3" s="55">
        <v>7</v>
      </c>
      <c r="H3" s="110">
        <f>IF(ISNUMBER(G3),ROUND(G3,2),"")</f>
        <v>7</v>
      </c>
      <c r="I3" s="55"/>
      <c r="J3" s="110" t="str">
        <f>IF(ISNUMBER(I3),ROUND(I3,2),"")</f>
        <v/>
      </c>
      <c r="K3" s="117">
        <f>IF(AND(ISNUMBER(G3),ISNUMBER(I3)),ROUND(G3+I3,0),IF(ISNUMBER(G3),ROUND(G3,0),IF(ISNUMBER(I3),ROUND(I3,0),"")))</f>
        <v>7</v>
      </c>
      <c r="L3" s="55"/>
      <c r="M3" s="121" t="str">
        <f>IF(ISNUMBER(L3),ROUND(L3,2),"")</f>
        <v/>
      </c>
      <c r="N3" s="55" t="s">
        <v>879</v>
      </c>
      <c r="O3" s="56" t="s">
        <v>880</v>
      </c>
      <c r="P3" s="57" t="s">
        <v>881</v>
      </c>
      <c r="Q3" s="139"/>
      <c r="R3" s="93" t="str">
        <f>IF(S3="","","ΣΦΑΛΜΑ")</f>
        <v/>
      </c>
      <c r="S3" s="96" t="str">
        <f>CONCATENATE(IF(K3="",T3,""),IF(K3&gt;K17,U3,""),IF(G3&gt;G17,V3,""),IF(I3&gt;I17,W3,""),IF(L3&lt;&gt;"",IF(AND(ISNUMBER(L3),L3&gt;=0,L3&lt;=100),"",X3),""))</f>
        <v/>
      </c>
      <c r="T3" s="182" t="s">
        <v>531</v>
      </c>
      <c r="U3" s="182" t="s">
        <v>533</v>
      </c>
      <c r="V3" s="182"/>
      <c r="W3" s="182"/>
      <c r="X3" s="182" t="s">
        <v>532</v>
      </c>
      <c r="Y3" s="183"/>
    </row>
    <row r="4" spans="1:25" s="13" customFormat="1" ht="106.5" thickTop="1" thickBot="1" x14ac:dyDescent="0.3">
      <c r="A4" s="51" t="str">
        <f t="shared" ref="A4:A30" si="0">A$3</f>
        <v>F04</v>
      </c>
      <c r="B4" s="120" t="str">
        <f>ΓΕΝΙΚΑ!$C$4</f>
        <v>OTE</v>
      </c>
      <c r="C4" s="155">
        <f>IF(R4="",IF(ΓΕΝΙΚΑ!$B$19="ΝΑΙ",14664,""),"")</f>
        <v>14664</v>
      </c>
      <c r="D4" s="156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6</v>
      </c>
      <c r="H4" s="110">
        <f t="shared" ref="H4:H30" si="1">IF(ISNUMBER(G4),ROUND(G4,2),"")</f>
        <v>6</v>
      </c>
      <c r="I4" s="58"/>
      <c r="J4" s="110" t="str">
        <f t="shared" ref="J4:J30" si="2">IF(ISNUMBER(I4),ROUND(I4,2),"")</f>
        <v/>
      </c>
      <c r="K4" s="118">
        <f t="shared" ref="K4:K30" si="3">IF(AND(ISNUMBER(G4),ISNUMBER(I4)),ROUND(G4+I4,0),IF(ISNUMBER(G4),ROUND(G4,0),IF(ISNUMBER(I4),ROUND(I4,0),"")))</f>
        <v>6</v>
      </c>
      <c r="L4" s="58"/>
      <c r="M4" s="121" t="str">
        <f t="shared" ref="M4:M16" si="4">IF(ISNUMBER(L4),ROUND(L4,2),"")</f>
        <v/>
      </c>
      <c r="N4" s="163" t="str">
        <f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4" s="163" t="str">
        <f>O$3</f>
        <v>Μισή εργάσιμη ημέρα</v>
      </c>
      <c r="P4" s="164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4" s="139"/>
      <c r="R4" s="93" t="str">
        <f t="shared" ref="R4:R30" si="5">IF(S4="","","ΣΦΑΛΜΑ")</f>
        <v/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2" t="s">
        <v>531</v>
      </c>
      <c r="U4" s="182" t="s">
        <v>533</v>
      </c>
      <c r="V4" s="182"/>
      <c r="W4" s="182"/>
      <c r="X4" s="182" t="s">
        <v>532</v>
      </c>
      <c r="Y4" s="183" t="s">
        <v>865</v>
      </c>
    </row>
    <row r="5" spans="1:25" s="13" customFormat="1" ht="106.5" thickTop="1" thickBot="1" x14ac:dyDescent="0.3">
      <c r="A5" s="51" t="str">
        <f t="shared" si="0"/>
        <v>F04</v>
      </c>
      <c r="B5" s="120" t="str">
        <f>ΓΕΝΙΚΑ!$C$4</f>
        <v>OTE</v>
      </c>
      <c r="C5" s="32">
        <f>IF(R5="",IF(ΓΕΝΙΚΑ!$B$19="ΝΑΙ",14666,""),"")</f>
        <v>14666</v>
      </c>
      <c r="D5" s="157" t="str">
        <f>IF(ΓΕΝΙΚΑ!$B$19="ΝΑΙ","Π. ΑΤΤΙΚΗΣ","")</f>
        <v>Π. ΑΤΤΙΚΗΣ</v>
      </c>
      <c r="E5" s="47" t="s">
        <v>39</v>
      </c>
      <c r="F5" s="47">
        <v>50</v>
      </c>
      <c r="G5" s="58">
        <v>8</v>
      </c>
      <c r="H5" s="110">
        <f t="shared" si="1"/>
        <v>8</v>
      </c>
      <c r="I5" s="58"/>
      <c r="J5" s="110" t="str">
        <f t="shared" si="2"/>
        <v/>
      </c>
      <c r="K5" s="118">
        <f t="shared" si="3"/>
        <v>8</v>
      </c>
      <c r="L5" s="58"/>
      <c r="M5" s="121" t="str">
        <f t="shared" si="4"/>
        <v/>
      </c>
      <c r="N5" s="163" t="str">
        <f t="shared" ref="N5:P30" si="6">N$3</f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5" s="163" t="str">
        <f t="shared" si="6"/>
        <v>Μισή εργάσιμη ημέρα</v>
      </c>
      <c r="P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5" s="139"/>
      <c r="R5" s="93" t="str">
        <f t="shared" si="5"/>
        <v/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2" t="s">
        <v>531</v>
      </c>
      <c r="U5" s="182" t="s">
        <v>533</v>
      </c>
      <c r="V5" s="182"/>
      <c r="W5" s="182"/>
      <c r="X5" s="182" t="s">
        <v>532</v>
      </c>
      <c r="Y5" s="183" t="s">
        <v>865</v>
      </c>
    </row>
    <row r="6" spans="1:25" s="13" customFormat="1" ht="106.5" thickTop="1" thickBot="1" x14ac:dyDescent="0.3">
      <c r="A6" s="51" t="str">
        <f t="shared" si="0"/>
        <v>F04</v>
      </c>
      <c r="B6" s="120" t="str">
        <f>ΓΕΝΙΚΑ!$C$4</f>
        <v>OTE</v>
      </c>
      <c r="C6" s="155">
        <f>IF(R6="",IF(ΓΕΝΙΚΑ!$B$19="ΝΑΙ",14668,""),"")</f>
        <v>14668</v>
      </c>
      <c r="D6" s="156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7</v>
      </c>
      <c r="H6" s="110">
        <f t="shared" si="1"/>
        <v>7</v>
      </c>
      <c r="I6" s="58"/>
      <c r="J6" s="110" t="str">
        <f t="shared" si="2"/>
        <v/>
      </c>
      <c r="K6" s="118">
        <f t="shared" si="3"/>
        <v>7</v>
      </c>
      <c r="L6" s="58"/>
      <c r="M6" s="121" t="str">
        <f t="shared" si="4"/>
        <v/>
      </c>
      <c r="N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6" s="163" t="str">
        <f t="shared" si="6"/>
        <v>Μισή εργάσιμη ημέρα</v>
      </c>
      <c r="P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6" s="139"/>
      <c r="R6" s="93" t="str">
        <f t="shared" si="5"/>
        <v/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2" t="s">
        <v>531</v>
      </c>
      <c r="U6" s="182" t="s">
        <v>533</v>
      </c>
      <c r="V6" s="182"/>
      <c r="W6" s="182"/>
      <c r="X6" s="182" t="s">
        <v>532</v>
      </c>
      <c r="Y6" s="183" t="s">
        <v>865</v>
      </c>
    </row>
    <row r="7" spans="1:25" s="13" customFormat="1" ht="106.5" thickTop="1" thickBot="1" x14ac:dyDescent="0.3">
      <c r="A7" s="51" t="str">
        <f t="shared" si="0"/>
        <v>F04</v>
      </c>
      <c r="B7" s="120" t="str">
        <f>ΓΕΝΙΚΑ!$C$4</f>
        <v>OTE</v>
      </c>
      <c r="C7" s="32">
        <f>IF(R7="",IF(ΓΕΝΙΚΑ!$B$19="ΝΑΙ",14670,""),"")</f>
        <v>14670</v>
      </c>
      <c r="D7" s="157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8</v>
      </c>
      <c r="H7" s="110">
        <f t="shared" si="1"/>
        <v>8</v>
      </c>
      <c r="I7" s="58"/>
      <c r="J7" s="110" t="str">
        <f t="shared" si="2"/>
        <v/>
      </c>
      <c r="K7" s="118">
        <f t="shared" si="3"/>
        <v>8</v>
      </c>
      <c r="L7" s="58"/>
      <c r="M7" s="121" t="str">
        <f t="shared" si="4"/>
        <v/>
      </c>
      <c r="N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7" s="163" t="str">
        <f t="shared" si="6"/>
        <v>Μισή εργάσιμη ημέρα</v>
      </c>
      <c r="P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7" s="139"/>
      <c r="R7" s="93" t="str">
        <f t="shared" si="5"/>
        <v/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2" t="s">
        <v>531</v>
      </c>
      <c r="U7" s="182" t="s">
        <v>533</v>
      </c>
      <c r="V7" s="182"/>
      <c r="W7" s="182"/>
      <c r="X7" s="182" t="s">
        <v>532</v>
      </c>
      <c r="Y7" s="183" t="s">
        <v>865</v>
      </c>
    </row>
    <row r="8" spans="1:25" s="13" customFormat="1" ht="106.5" thickTop="1" thickBot="1" x14ac:dyDescent="0.3">
      <c r="A8" s="51" t="str">
        <f t="shared" si="0"/>
        <v>F04</v>
      </c>
      <c r="B8" s="120" t="str">
        <f>ΓΕΝΙΚΑ!$C$4</f>
        <v>OTE</v>
      </c>
      <c r="C8" s="155">
        <f>IF(R8="",IF(ΓΕΝΙΚΑ!$B$19="ΝΑΙ",14672,""),"")</f>
        <v>14672</v>
      </c>
      <c r="D8" s="156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6</v>
      </c>
      <c r="H8" s="110">
        <f t="shared" si="1"/>
        <v>6</v>
      </c>
      <c r="I8" s="58"/>
      <c r="J8" s="110" t="str">
        <f t="shared" si="2"/>
        <v/>
      </c>
      <c r="K8" s="118">
        <f t="shared" si="3"/>
        <v>6</v>
      </c>
      <c r="L8" s="58"/>
      <c r="M8" s="121" t="str">
        <f t="shared" si="4"/>
        <v/>
      </c>
      <c r="N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8" s="163" t="str">
        <f t="shared" si="6"/>
        <v>Μισή εργάσιμη ημέρα</v>
      </c>
      <c r="P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8" s="139"/>
      <c r="R8" s="93" t="str">
        <f t="shared" si="5"/>
        <v/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2" t="s">
        <v>531</v>
      </c>
      <c r="U8" s="182" t="s">
        <v>533</v>
      </c>
      <c r="V8" s="182"/>
      <c r="W8" s="182"/>
      <c r="X8" s="182" t="s">
        <v>532</v>
      </c>
      <c r="Y8" s="183" t="s">
        <v>865</v>
      </c>
    </row>
    <row r="9" spans="1:25" s="13" customFormat="1" ht="106.5" thickTop="1" thickBot="1" x14ac:dyDescent="0.3">
      <c r="A9" s="51" t="str">
        <f t="shared" si="0"/>
        <v>F04</v>
      </c>
      <c r="B9" s="120" t="str">
        <f>ΓΕΝΙΚΑ!$C$4</f>
        <v>OTE</v>
      </c>
      <c r="C9" s="32">
        <f>IF(R9="",IF(ΓΕΝΙΚΑ!$B$19="ΝΑΙ",14674,""),"")</f>
        <v>14674</v>
      </c>
      <c r="D9" s="157" t="str">
        <f>IF(ΓΕΝΙΚΑ!$B$19="ΝΑΙ","Π. ΗΠΕΙΡΟΥ","")</f>
        <v>Π. ΗΠΕΙΡΟΥ</v>
      </c>
      <c r="E9" s="47" t="s">
        <v>406</v>
      </c>
      <c r="F9" s="47">
        <v>50</v>
      </c>
      <c r="G9" s="58">
        <v>6</v>
      </c>
      <c r="H9" s="110">
        <f t="shared" si="1"/>
        <v>6</v>
      </c>
      <c r="I9" s="58"/>
      <c r="J9" s="110" t="str">
        <f t="shared" si="2"/>
        <v/>
      </c>
      <c r="K9" s="118">
        <f t="shared" si="3"/>
        <v>6</v>
      </c>
      <c r="L9" s="58"/>
      <c r="M9" s="121" t="str">
        <f t="shared" si="4"/>
        <v/>
      </c>
      <c r="N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9" s="163" t="str">
        <f t="shared" si="6"/>
        <v>Μισή εργάσιμη ημέρα</v>
      </c>
      <c r="P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9" s="139"/>
      <c r="R9" s="93" t="str">
        <f t="shared" si="5"/>
        <v/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2" t="s">
        <v>531</v>
      </c>
      <c r="U9" s="182" t="s">
        <v>533</v>
      </c>
      <c r="V9" s="182"/>
      <c r="W9" s="182"/>
      <c r="X9" s="182" t="s">
        <v>532</v>
      </c>
      <c r="Y9" s="183" t="s">
        <v>865</v>
      </c>
    </row>
    <row r="10" spans="1:25" s="13" customFormat="1" ht="106.5" thickTop="1" thickBot="1" x14ac:dyDescent="0.3">
      <c r="A10" s="51" t="str">
        <f t="shared" si="0"/>
        <v>F04</v>
      </c>
      <c r="B10" s="120" t="str">
        <f>ΓΕΝΙΚΑ!$C$4</f>
        <v>OTE</v>
      </c>
      <c r="C10" s="155">
        <f>IF(R10="",IF(ΓΕΝΙΚΑ!$B$19="ΝΑΙ",14676,""),"")</f>
        <v>14676</v>
      </c>
      <c r="D10" s="156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7</v>
      </c>
      <c r="H10" s="110">
        <f t="shared" si="1"/>
        <v>7</v>
      </c>
      <c r="I10" s="58"/>
      <c r="J10" s="110" t="str">
        <f t="shared" si="2"/>
        <v/>
      </c>
      <c r="K10" s="118">
        <f t="shared" si="3"/>
        <v>7</v>
      </c>
      <c r="L10" s="58"/>
      <c r="M10" s="121" t="str">
        <f t="shared" si="4"/>
        <v/>
      </c>
      <c r="N10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0" s="163" t="str">
        <f t="shared" si="6"/>
        <v>Μισή εργάσιμη ημέρα</v>
      </c>
      <c r="P10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0" s="139"/>
      <c r="R10" s="93" t="str">
        <f t="shared" si="5"/>
        <v/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2" t="s">
        <v>531</v>
      </c>
      <c r="U10" s="182" t="s">
        <v>533</v>
      </c>
      <c r="V10" s="182"/>
      <c r="W10" s="182"/>
      <c r="X10" s="182" t="s">
        <v>532</v>
      </c>
      <c r="Y10" s="183" t="s">
        <v>865</v>
      </c>
    </row>
    <row r="11" spans="1:25" s="13" customFormat="1" ht="106.5" thickTop="1" thickBot="1" x14ac:dyDescent="0.3">
      <c r="A11" s="51" t="str">
        <f t="shared" si="0"/>
        <v>F04</v>
      </c>
      <c r="B11" s="120" t="str">
        <f>ΓΕΝΙΚΑ!$C$4</f>
        <v>OTE</v>
      </c>
      <c r="C11" s="32">
        <f>IF(R11="",IF(ΓΕΝΙΚΑ!$B$19="ΝΑΙ",14678,""),"")</f>
        <v>14678</v>
      </c>
      <c r="D11" s="157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8</v>
      </c>
      <c r="H11" s="110">
        <f t="shared" si="1"/>
        <v>8</v>
      </c>
      <c r="I11" s="58"/>
      <c r="J11" s="110" t="str">
        <f t="shared" si="2"/>
        <v/>
      </c>
      <c r="K11" s="118">
        <f t="shared" si="3"/>
        <v>8</v>
      </c>
      <c r="L11" s="58"/>
      <c r="M11" s="121" t="str">
        <f t="shared" si="4"/>
        <v/>
      </c>
      <c r="N11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1" s="163" t="str">
        <f t="shared" si="6"/>
        <v>Μισή εργάσιμη ημέρα</v>
      </c>
      <c r="P11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1" s="139"/>
      <c r="R11" s="93" t="str">
        <f t="shared" si="5"/>
        <v/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2" t="s">
        <v>531</v>
      </c>
      <c r="U11" s="182" t="s">
        <v>533</v>
      </c>
      <c r="V11" s="182"/>
      <c r="W11" s="182"/>
      <c r="X11" s="182" t="s">
        <v>532</v>
      </c>
      <c r="Y11" s="183" t="s">
        <v>865</v>
      </c>
    </row>
    <row r="12" spans="1:25" s="13" customFormat="1" ht="106.5" thickTop="1" thickBot="1" x14ac:dyDescent="0.3">
      <c r="A12" s="51" t="str">
        <f t="shared" si="0"/>
        <v>F04</v>
      </c>
      <c r="B12" s="120" t="str">
        <f>ΓΕΝΙΚΑ!$C$4</f>
        <v>OTE</v>
      </c>
      <c r="C12" s="155">
        <f>IF(R12="",IF(ΓΕΝΙΚΑ!$B$19="ΝΑΙ",14680,""),"")</f>
        <v>14680</v>
      </c>
      <c r="D12" s="156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6</v>
      </c>
      <c r="H12" s="110">
        <f t="shared" si="1"/>
        <v>6</v>
      </c>
      <c r="I12" s="58"/>
      <c r="J12" s="110" t="str">
        <f t="shared" si="2"/>
        <v/>
      </c>
      <c r="K12" s="118">
        <f t="shared" si="3"/>
        <v>6</v>
      </c>
      <c r="L12" s="58"/>
      <c r="M12" s="121" t="str">
        <f t="shared" si="4"/>
        <v/>
      </c>
      <c r="N12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2" s="163" t="str">
        <f t="shared" si="6"/>
        <v>Μισή εργάσιμη ημέρα</v>
      </c>
      <c r="P12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2" s="139"/>
      <c r="R12" s="93" t="str">
        <f t="shared" si="5"/>
        <v/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2" t="s">
        <v>531</v>
      </c>
      <c r="U12" s="182" t="s">
        <v>533</v>
      </c>
      <c r="V12" s="182"/>
      <c r="W12" s="182"/>
      <c r="X12" s="182" t="s">
        <v>532</v>
      </c>
      <c r="Y12" s="183" t="s">
        <v>865</v>
      </c>
    </row>
    <row r="13" spans="1:25" s="13" customFormat="1" ht="106.5" thickTop="1" thickBot="1" x14ac:dyDescent="0.3">
      <c r="A13" s="51" t="str">
        <f t="shared" si="0"/>
        <v>F04</v>
      </c>
      <c r="B13" s="120" t="str">
        <f>ΓΕΝΙΚΑ!$C$4</f>
        <v>OTE</v>
      </c>
      <c r="C13" s="32">
        <f>IF(R13="",IF(ΓΕΝΙΚΑ!$B$19="ΝΑΙ",14682,""),"")</f>
        <v>14682</v>
      </c>
      <c r="D13" s="157" t="str">
        <f>IF(ΓΕΝΙΚΑ!$B$19="ΝΑΙ","Π. ΚΡΗΤΗΣ","")</f>
        <v>Π. ΚΡΗΤΗΣ</v>
      </c>
      <c r="E13" s="47" t="s">
        <v>410</v>
      </c>
      <c r="F13" s="47">
        <v>50</v>
      </c>
      <c r="G13" s="58">
        <v>6</v>
      </c>
      <c r="H13" s="110">
        <f t="shared" si="1"/>
        <v>6</v>
      </c>
      <c r="I13" s="58"/>
      <c r="J13" s="110" t="str">
        <f t="shared" si="2"/>
        <v/>
      </c>
      <c r="K13" s="118">
        <f t="shared" si="3"/>
        <v>6</v>
      </c>
      <c r="L13" s="58"/>
      <c r="M13" s="121" t="str">
        <f t="shared" si="4"/>
        <v/>
      </c>
      <c r="N13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3" s="163" t="str">
        <f t="shared" si="6"/>
        <v>Μισή εργάσιμη ημέρα</v>
      </c>
      <c r="P13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3" s="139"/>
      <c r="R13" s="93" t="str">
        <f t="shared" si="5"/>
        <v/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2" t="s">
        <v>531</v>
      </c>
      <c r="U13" s="182" t="s">
        <v>533</v>
      </c>
      <c r="V13" s="182"/>
      <c r="W13" s="182"/>
      <c r="X13" s="182" t="s">
        <v>532</v>
      </c>
      <c r="Y13" s="183" t="s">
        <v>865</v>
      </c>
    </row>
    <row r="14" spans="1:25" s="13" customFormat="1" ht="106.5" thickTop="1" thickBot="1" x14ac:dyDescent="0.3">
      <c r="A14" s="51" t="str">
        <f t="shared" si="0"/>
        <v>F04</v>
      </c>
      <c r="B14" s="120" t="str">
        <f>ΓΕΝΙΚΑ!$C$4</f>
        <v>OTE</v>
      </c>
      <c r="C14" s="155">
        <f>IF(R14="",IF(ΓΕΝΙΚΑ!$B$19="ΝΑΙ",14684,""),"")</f>
        <v>14684</v>
      </c>
      <c r="D14" s="156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11</v>
      </c>
      <c r="H14" s="110">
        <f t="shared" si="1"/>
        <v>11</v>
      </c>
      <c r="I14" s="58"/>
      <c r="J14" s="110" t="str">
        <f t="shared" si="2"/>
        <v/>
      </c>
      <c r="K14" s="118">
        <f t="shared" si="3"/>
        <v>11</v>
      </c>
      <c r="L14" s="58"/>
      <c r="M14" s="121" t="str">
        <f t="shared" si="4"/>
        <v/>
      </c>
      <c r="N14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4" s="163" t="str">
        <f t="shared" si="6"/>
        <v>Μισή εργάσιμη ημέρα</v>
      </c>
      <c r="P14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4" s="139"/>
      <c r="R14" s="93" t="str">
        <f t="shared" si="5"/>
        <v/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2" t="s">
        <v>531</v>
      </c>
      <c r="U14" s="182" t="s">
        <v>533</v>
      </c>
      <c r="V14" s="182"/>
      <c r="W14" s="182"/>
      <c r="X14" s="182" t="s">
        <v>532</v>
      </c>
      <c r="Y14" s="183" t="s">
        <v>865</v>
      </c>
    </row>
    <row r="15" spans="1:25" s="13" customFormat="1" ht="106.5" thickTop="1" thickBot="1" x14ac:dyDescent="0.3">
      <c r="A15" s="51" t="str">
        <f t="shared" si="0"/>
        <v>F04</v>
      </c>
      <c r="B15" s="120" t="str">
        <f>ΓΕΝΙΚΑ!$C$4</f>
        <v>OTE</v>
      </c>
      <c r="C15" s="32">
        <f>IF(R15="",IF(ΓΕΝΙΚΑ!$B$19="ΝΑΙ",14686,""),"")</f>
        <v>14686</v>
      </c>
      <c r="D15" s="157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7</v>
      </c>
      <c r="H15" s="110">
        <f t="shared" si="1"/>
        <v>7</v>
      </c>
      <c r="I15" s="58"/>
      <c r="J15" s="110" t="str">
        <f t="shared" si="2"/>
        <v/>
      </c>
      <c r="K15" s="118">
        <f t="shared" si="3"/>
        <v>7</v>
      </c>
      <c r="L15" s="58"/>
      <c r="M15" s="121" t="str">
        <f t="shared" si="4"/>
        <v/>
      </c>
      <c r="N15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5" s="163" t="str">
        <f t="shared" si="6"/>
        <v>Μισή εργάσιμη ημέρα</v>
      </c>
      <c r="P1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5" s="139"/>
      <c r="R15" s="93" t="str">
        <f t="shared" si="5"/>
        <v/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2" t="s">
        <v>531</v>
      </c>
      <c r="U15" s="182" t="s">
        <v>533</v>
      </c>
      <c r="V15" s="182"/>
      <c r="W15" s="182"/>
      <c r="X15" s="182" t="s">
        <v>532</v>
      </c>
      <c r="Y15" s="183" t="s">
        <v>865</v>
      </c>
    </row>
    <row r="16" spans="1:25" s="13" customFormat="1" ht="106.5" thickTop="1" thickBot="1" x14ac:dyDescent="0.3">
      <c r="A16" s="51" t="str">
        <f t="shared" si="0"/>
        <v>F04</v>
      </c>
      <c r="B16" s="120" t="str">
        <f>ΓΕΝΙΚΑ!$C$4</f>
        <v>OTE</v>
      </c>
      <c r="C16" s="158">
        <f>IF(R16="",IF(ΓΕΝΙΚΑ!$B$19="ΝΑΙ",14688,""),"")</f>
        <v>14688</v>
      </c>
      <c r="D16" s="159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5</v>
      </c>
      <c r="H16" s="113">
        <f t="shared" si="1"/>
        <v>5</v>
      </c>
      <c r="I16" s="59"/>
      <c r="J16" s="113" t="str">
        <f t="shared" si="2"/>
        <v/>
      </c>
      <c r="K16" s="49">
        <f t="shared" si="3"/>
        <v>5</v>
      </c>
      <c r="L16" s="59"/>
      <c r="M16" s="114" t="str">
        <f t="shared" si="4"/>
        <v/>
      </c>
      <c r="N1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6" s="163" t="str">
        <f t="shared" si="6"/>
        <v>Μισή εργάσιμη ημέρα</v>
      </c>
      <c r="P1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6" s="139"/>
      <c r="R16" s="93" t="str">
        <f t="shared" si="5"/>
        <v/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2" t="s">
        <v>531</v>
      </c>
      <c r="U16" s="182" t="s">
        <v>533</v>
      </c>
      <c r="V16" s="182"/>
      <c r="W16" s="182"/>
      <c r="X16" s="182" t="s">
        <v>532</v>
      </c>
      <c r="Y16" s="183" t="s">
        <v>865</v>
      </c>
    </row>
    <row r="17" spans="1:25" s="13" customFormat="1" ht="106.5" thickTop="1" thickBot="1" x14ac:dyDescent="0.3">
      <c r="A17" s="51" t="str">
        <f t="shared" si="0"/>
        <v>F04</v>
      </c>
      <c r="B17" s="120" t="str">
        <f>ΓΕΝΙΚΑ!$C$4</f>
        <v>OTE</v>
      </c>
      <c r="C17" s="34">
        <f>IF(R17="",IF(ΓΕΝΙΚΑ!$B$19="ΝΑΙ",15300,""),"")</f>
        <v>15300</v>
      </c>
      <c r="D17" s="154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25</v>
      </c>
      <c r="H17" s="110">
        <f t="shared" si="1"/>
        <v>25</v>
      </c>
      <c r="I17" s="55"/>
      <c r="J17" s="110" t="str">
        <f t="shared" si="2"/>
        <v/>
      </c>
      <c r="K17" s="119">
        <f t="shared" si="3"/>
        <v>25</v>
      </c>
      <c r="L17" s="53"/>
      <c r="M17" s="53" t="str">
        <f>M3</f>
        <v/>
      </c>
      <c r="N1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7" s="163" t="str">
        <f t="shared" si="6"/>
        <v>Μισή εργάσιμη ημέρα</v>
      </c>
      <c r="P1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7" s="139"/>
      <c r="R17" s="93" t="str">
        <f t="shared" si="5"/>
        <v/>
      </c>
      <c r="S17" s="96" t="str">
        <f>IF(K17="",T3,"")</f>
        <v/>
      </c>
      <c r="T17" s="182"/>
      <c r="U17" s="182"/>
      <c r="V17" s="182"/>
      <c r="W17" s="182"/>
      <c r="X17" s="182"/>
      <c r="Y17" s="183" t="s">
        <v>865</v>
      </c>
    </row>
    <row r="18" spans="1:25" s="13" customFormat="1" ht="106.5" thickTop="1" thickBot="1" x14ac:dyDescent="0.3">
      <c r="A18" s="51" t="str">
        <f t="shared" si="0"/>
        <v>F04</v>
      </c>
      <c r="B18" s="120" t="str">
        <f>ΓΕΝΙΚΑ!$C$4</f>
        <v>OTE</v>
      </c>
      <c r="C18" s="155">
        <f>IF(R18="",IF(ΓΕΝΙΚΑ!$B$19="ΝΑΙ",14664,""),"")</f>
        <v>14664</v>
      </c>
      <c r="D18" s="156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22</v>
      </c>
      <c r="H18" s="110">
        <f t="shared" si="1"/>
        <v>22</v>
      </c>
      <c r="I18" s="58"/>
      <c r="J18" s="110" t="str">
        <f t="shared" si="2"/>
        <v/>
      </c>
      <c r="K18" s="47">
        <f t="shared" si="3"/>
        <v>22</v>
      </c>
      <c r="L18" s="53"/>
      <c r="M18" s="53" t="str">
        <f t="shared" ref="M18:M30" si="7">M4</f>
        <v/>
      </c>
      <c r="N1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8" s="163" t="str">
        <f t="shared" si="6"/>
        <v>Μισή εργάσιμη ημέρα</v>
      </c>
      <c r="P1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8" s="139"/>
      <c r="R18" s="93" t="str">
        <f t="shared" si="5"/>
        <v/>
      </c>
      <c r="S18" s="96" t="str">
        <f>IF(AND(ΠΕΡΙΦΕΡΕΙΑ!B2="Καθόλου",OR(G4&lt;&gt;"",I4&lt;&gt;"",L4&lt;&gt;"")),Y4,IF(AND(K18="",ΠΕΡΙΦΕΡΕΙΑ!B2&lt;&gt;"Καθόλου"),T4,""))</f>
        <v/>
      </c>
      <c r="T18" s="182"/>
      <c r="U18" s="182"/>
      <c r="V18" s="182"/>
      <c r="W18" s="182"/>
      <c r="X18" s="182"/>
      <c r="Y18" s="183" t="s">
        <v>865</v>
      </c>
    </row>
    <row r="19" spans="1:25" s="13" customFormat="1" ht="106.5" thickTop="1" thickBot="1" x14ac:dyDescent="0.3">
      <c r="A19" s="51" t="str">
        <f t="shared" si="0"/>
        <v>F04</v>
      </c>
      <c r="B19" s="120" t="str">
        <f>ΓΕΝΙΚΑ!$C$4</f>
        <v>OTE</v>
      </c>
      <c r="C19" s="32">
        <f>IF(R19="",IF(ΓΕΝΙΚΑ!$B$19="ΝΑΙ",14666,""),"")</f>
        <v>14666</v>
      </c>
      <c r="D19" s="157" t="str">
        <f>IF(ΓΕΝΙΚΑ!$B$19="ΝΑΙ","Π. ΑΤΤΙΚΗΣ","")</f>
        <v>Π. ΑΤΤΙΚΗΣ</v>
      </c>
      <c r="E19" s="47" t="s">
        <v>39</v>
      </c>
      <c r="F19" s="47">
        <v>95</v>
      </c>
      <c r="G19" s="58">
        <v>26</v>
      </c>
      <c r="H19" s="110">
        <f t="shared" si="1"/>
        <v>26</v>
      </c>
      <c r="I19" s="58"/>
      <c r="J19" s="110" t="str">
        <f t="shared" si="2"/>
        <v/>
      </c>
      <c r="K19" s="47">
        <f t="shared" si="3"/>
        <v>26</v>
      </c>
      <c r="L19" s="53"/>
      <c r="M19" s="53" t="str">
        <f t="shared" si="7"/>
        <v/>
      </c>
      <c r="N1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19" s="163" t="str">
        <f t="shared" si="6"/>
        <v>Μισή εργάσιμη ημέρα</v>
      </c>
      <c r="P1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19" s="139"/>
      <c r="R19" s="93" t="str">
        <f t="shared" si="5"/>
        <v/>
      </c>
      <c r="S19" s="96" t="str">
        <f>IF(AND(ΠΕΡΙΦΕΡΕΙΑ!B3="Καθόλου",OR(G5&lt;&gt;"",I5&lt;&gt;"",L5&lt;&gt;"")),Y5,IF(AND(K19="",ΠΕΡΙΦΕΡΕΙΑ!B3&lt;&gt;"Καθόλου"),T5,""))</f>
        <v/>
      </c>
      <c r="T19" s="182"/>
      <c r="U19" s="182"/>
      <c r="V19" s="182"/>
      <c r="W19" s="182"/>
      <c r="X19" s="182"/>
      <c r="Y19" s="183" t="s">
        <v>865</v>
      </c>
    </row>
    <row r="20" spans="1:25" s="13" customFormat="1" ht="106.5" thickTop="1" thickBot="1" x14ac:dyDescent="0.3">
      <c r="A20" s="51" t="str">
        <f t="shared" si="0"/>
        <v>F04</v>
      </c>
      <c r="B20" s="120" t="str">
        <f>ΓΕΝΙΚΑ!$C$4</f>
        <v>OTE</v>
      </c>
      <c r="C20" s="155">
        <f>IF(R20="",IF(ΓΕΝΙΚΑ!$B$19="ΝΑΙ",14668,""),"")</f>
        <v>14668</v>
      </c>
      <c r="D20" s="156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23</v>
      </c>
      <c r="H20" s="110">
        <f t="shared" si="1"/>
        <v>23</v>
      </c>
      <c r="I20" s="58"/>
      <c r="J20" s="110" t="str">
        <f t="shared" si="2"/>
        <v/>
      </c>
      <c r="K20" s="47">
        <f t="shared" si="3"/>
        <v>23</v>
      </c>
      <c r="L20" s="53"/>
      <c r="M20" s="53" t="str">
        <f t="shared" si="7"/>
        <v/>
      </c>
      <c r="N20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0" s="163" t="str">
        <f t="shared" si="6"/>
        <v>Μισή εργάσιμη ημέρα</v>
      </c>
      <c r="P20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0" s="139"/>
      <c r="R20" s="93" t="str">
        <f t="shared" si="5"/>
        <v/>
      </c>
      <c r="S20" s="96" t="str">
        <f>IF(AND(ΠΕΡΙΦΕΡΕΙΑ!B4="Καθόλου",OR(G6&lt;&gt;"",I6&lt;&gt;"",L6&lt;&gt;"")),Y6,IF(AND(K20="",ΠΕΡΙΦΕΡΕΙΑ!B4&lt;&gt;"Καθόλου"),T6,""))</f>
        <v/>
      </c>
      <c r="T20" s="182"/>
      <c r="U20" s="182"/>
      <c r="V20" s="182"/>
      <c r="W20" s="182"/>
      <c r="X20" s="182"/>
      <c r="Y20" s="183" t="s">
        <v>865</v>
      </c>
    </row>
    <row r="21" spans="1:25" s="13" customFormat="1" ht="106.5" thickTop="1" thickBot="1" x14ac:dyDescent="0.3">
      <c r="A21" s="51" t="str">
        <f t="shared" si="0"/>
        <v>F04</v>
      </c>
      <c r="B21" s="120" t="str">
        <f>ΓΕΝΙΚΑ!$C$4</f>
        <v>OTE</v>
      </c>
      <c r="C21" s="32">
        <f>IF(R21="",IF(ΓΕΝΙΚΑ!$B$19="ΝΑΙ",14670,""),"")</f>
        <v>14670</v>
      </c>
      <c r="D21" s="157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27</v>
      </c>
      <c r="H21" s="110">
        <f t="shared" si="1"/>
        <v>27</v>
      </c>
      <c r="I21" s="58"/>
      <c r="J21" s="110" t="str">
        <f t="shared" si="2"/>
        <v/>
      </c>
      <c r="K21" s="47">
        <f t="shared" si="3"/>
        <v>27</v>
      </c>
      <c r="L21" s="53"/>
      <c r="M21" s="53" t="str">
        <f t="shared" si="7"/>
        <v/>
      </c>
      <c r="N21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1" s="163" t="str">
        <f t="shared" si="6"/>
        <v>Μισή εργάσιμη ημέρα</v>
      </c>
      <c r="P21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1" s="139"/>
      <c r="R21" s="93" t="str">
        <f t="shared" si="5"/>
        <v/>
      </c>
      <c r="S21" s="96" t="str">
        <f>IF(AND(ΠΕΡΙΦΕΡΕΙΑ!B5="Καθόλου",OR(G7&lt;&gt;"",I7&lt;&gt;"",L7&lt;&gt;"")),Y7,IF(AND(K21="",ΠΕΡΙΦΕΡΕΙΑ!B5&lt;&gt;"Καθόλου"),T7,""))</f>
        <v/>
      </c>
      <c r="T21" s="182"/>
      <c r="U21" s="182"/>
      <c r="V21" s="182"/>
      <c r="W21" s="182"/>
      <c r="X21" s="182"/>
      <c r="Y21" s="183" t="s">
        <v>865</v>
      </c>
    </row>
    <row r="22" spans="1:25" s="13" customFormat="1" ht="106.5" thickTop="1" thickBot="1" x14ac:dyDescent="0.3">
      <c r="A22" s="51" t="str">
        <f t="shared" si="0"/>
        <v>F04</v>
      </c>
      <c r="B22" s="120" t="str">
        <f>ΓΕΝΙΚΑ!$C$4</f>
        <v>OTE</v>
      </c>
      <c r="C22" s="155">
        <f>IF(R22="",IF(ΓΕΝΙΚΑ!$B$19="ΝΑΙ",14672,""),"")</f>
        <v>14672</v>
      </c>
      <c r="D22" s="156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20</v>
      </c>
      <c r="H22" s="110">
        <f t="shared" si="1"/>
        <v>20</v>
      </c>
      <c r="I22" s="58"/>
      <c r="J22" s="110" t="str">
        <f t="shared" si="2"/>
        <v/>
      </c>
      <c r="K22" s="47">
        <f t="shared" si="3"/>
        <v>20</v>
      </c>
      <c r="L22" s="53"/>
      <c r="M22" s="53" t="str">
        <f t="shared" si="7"/>
        <v/>
      </c>
      <c r="N22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2" s="163" t="str">
        <f t="shared" si="6"/>
        <v>Μισή εργάσιμη ημέρα</v>
      </c>
      <c r="P22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2" s="139"/>
      <c r="R22" s="93" t="str">
        <f t="shared" si="5"/>
        <v/>
      </c>
      <c r="S22" s="96" t="str">
        <f>IF(AND(ΠΕΡΙΦΕΡΕΙΑ!B6="Καθόλου",OR(G8&lt;&gt;"",I8&lt;&gt;"",L8&lt;&gt;"")),Y8,IF(AND(K22="",ΠΕΡΙΦΕΡΕΙΑ!B6&lt;&gt;"Καθόλου"),T8,""))</f>
        <v/>
      </c>
      <c r="T22" s="182"/>
      <c r="U22" s="182"/>
      <c r="V22" s="182"/>
      <c r="W22" s="182"/>
      <c r="X22" s="182"/>
      <c r="Y22" s="183" t="s">
        <v>865</v>
      </c>
    </row>
    <row r="23" spans="1:25" s="13" customFormat="1" ht="106.5" thickTop="1" thickBot="1" x14ac:dyDescent="0.3">
      <c r="A23" s="51" t="str">
        <f t="shared" si="0"/>
        <v>F04</v>
      </c>
      <c r="B23" s="120" t="str">
        <f>ΓΕΝΙΚΑ!$C$4</f>
        <v>OTE</v>
      </c>
      <c r="C23" s="32">
        <f>IF(R23="",IF(ΓΕΝΙΚΑ!$B$19="ΝΑΙ",14674,""),"")</f>
        <v>14674</v>
      </c>
      <c r="D23" s="157" t="str">
        <f>IF(ΓΕΝΙΚΑ!$B$19="ΝΑΙ","Π. ΗΠΕΙΡΟΥ","")</f>
        <v>Π. ΗΠΕΙΡΟΥ</v>
      </c>
      <c r="E23" s="47" t="s">
        <v>406</v>
      </c>
      <c r="F23" s="47">
        <v>95</v>
      </c>
      <c r="G23" s="58">
        <v>22</v>
      </c>
      <c r="H23" s="110">
        <f t="shared" si="1"/>
        <v>22</v>
      </c>
      <c r="I23" s="58"/>
      <c r="J23" s="110" t="str">
        <f t="shared" si="2"/>
        <v/>
      </c>
      <c r="K23" s="47">
        <f t="shared" si="3"/>
        <v>22</v>
      </c>
      <c r="L23" s="53"/>
      <c r="M23" s="53" t="str">
        <f t="shared" si="7"/>
        <v/>
      </c>
      <c r="N23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3" s="163" t="str">
        <f t="shared" si="6"/>
        <v>Μισή εργάσιμη ημέρα</v>
      </c>
      <c r="P23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3" s="139"/>
      <c r="R23" s="93" t="str">
        <f t="shared" si="5"/>
        <v/>
      </c>
      <c r="S23" s="96" t="str">
        <f>IF(AND(ΠΕΡΙΦΕΡΕΙΑ!B7="Καθόλου",OR(G9&lt;&gt;"",I9&lt;&gt;"",L9&lt;&gt;"")),Y9,IF(AND(K23="",ΠΕΡΙΦΕΡΕΙΑ!B7&lt;&gt;"Καθόλου"),T9,""))</f>
        <v/>
      </c>
      <c r="T23" s="182"/>
      <c r="U23" s="182"/>
      <c r="V23" s="182"/>
      <c r="W23" s="182"/>
      <c r="X23" s="182"/>
      <c r="Y23" s="183" t="s">
        <v>865</v>
      </c>
    </row>
    <row r="24" spans="1:25" s="13" customFormat="1" ht="106.5" thickTop="1" thickBot="1" x14ac:dyDescent="0.3">
      <c r="A24" s="51" t="str">
        <f t="shared" si="0"/>
        <v>F04</v>
      </c>
      <c r="B24" s="120" t="str">
        <f>ΓΕΝΙΚΑ!$C$4</f>
        <v>OTE</v>
      </c>
      <c r="C24" s="155">
        <f>IF(R24="",IF(ΓΕΝΙΚΑ!$B$19="ΝΑΙ",14676,""),"")</f>
        <v>14676</v>
      </c>
      <c r="D24" s="156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25</v>
      </c>
      <c r="H24" s="110">
        <f t="shared" si="1"/>
        <v>25</v>
      </c>
      <c r="I24" s="58"/>
      <c r="J24" s="110" t="str">
        <f t="shared" si="2"/>
        <v/>
      </c>
      <c r="K24" s="47">
        <f t="shared" si="3"/>
        <v>25</v>
      </c>
      <c r="L24" s="53"/>
      <c r="M24" s="53" t="str">
        <f t="shared" si="7"/>
        <v/>
      </c>
      <c r="N24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4" s="163" t="str">
        <f t="shared" si="6"/>
        <v>Μισή εργάσιμη ημέρα</v>
      </c>
      <c r="P24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4" s="139"/>
      <c r="R24" s="93" t="str">
        <f t="shared" si="5"/>
        <v/>
      </c>
      <c r="S24" s="96" t="str">
        <f>IF(AND(ΠΕΡΙΦΕΡΕΙΑ!B8="Καθόλου",OR(G10&lt;&gt;"",I10&lt;&gt;"",L10&lt;&gt;"")),Y10,IF(AND(K24="",ΠΕΡΙΦΕΡΕΙΑ!B8&lt;&gt;"Καθόλου"),T10,""))</f>
        <v/>
      </c>
      <c r="T24" s="182"/>
      <c r="U24" s="182"/>
      <c r="V24" s="182"/>
      <c r="W24" s="182"/>
      <c r="X24" s="182"/>
      <c r="Y24" s="183" t="s">
        <v>865</v>
      </c>
    </row>
    <row r="25" spans="1:25" s="13" customFormat="1" ht="106.5" thickTop="1" thickBot="1" x14ac:dyDescent="0.3">
      <c r="A25" s="51" t="str">
        <f t="shared" si="0"/>
        <v>F04</v>
      </c>
      <c r="B25" s="120" t="str">
        <f>ΓΕΝΙΚΑ!$C$4</f>
        <v>OTE</v>
      </c>
      <c r="C25" s="32">
        <f>IF(R25="",IF(ΓΕΝΙΚΑ!$B$19="ΝΑΙ",14678,""),"")</f>
        <v>14678</v>
      </c>
      <c r="D25" s="157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24</v>
      </c>
      <c r="H25" s="110">
        <f t="shared" si="1"/>
        <v>24</v>
      </c>
      <c r="I25" s="58"/>
      <c r="J25" s="110" t="str">
        <f t="shared" si="2"/>
        <v/>
      </c>
      <c r="K25" s="47">
        <f t="shared" si="3"/>
        <v>24</v>
      </c>
      <c r="L25" s="53"/>
      <c r="M25" s="53" t="str">
        <f t="shared" si="7"/>
        <v/>
      </c>
      <c r="N25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5" s="163" t="str">
        <f t="shared" si="6"/>
        <v>Μισή εργάσιμη ημέρα</v>
      </c>
      <c r="P25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5" s="139"/>
      <c r="R25" s="93" t="str">
        <f t="shared" si="5"/>
        <v/>
      </c>
      <c r="S25" s="96" t="str">
        <f>IF(AND(ΠΕΡΙΦΕΡΕΙΑ!B9="Καθόλου",OR(G11&lt;&gt;"",I11&lt;&gt;"",L11&lt;&gt;"")),Y11,IF(AND(K25="",ΠΕΡΙΦΕΡΕΙΑ!B9&lt;&gt;"Καθόλου"),T11,""))</f>
        <v/>
      </c>
      <c r="T25" s="182"/>
      <c r="U25" s="182"/>
      <c r="V25" s="182"/>
      <c r="W25" s="182"/>
      <c r="X25" s="182"/>
      <c r="Y25" s="183" t="s">
        <v>865</v>
      </c>
    </row>
    <row r="26" spans="1:25" s="13" customFormat="1" ht="106.5" thickTop="1" thickBot="1" x14ac:dyDescent="0.3">
      <c r="A26" s="51" t="str">
        <f t="shared" si="0"/>
        <v>F04</v>
      </c>
      <c r="B26" s="120" t="str">
        <f>ΓΕΝΙΚΑ!$C$4</f>
        <v>OTE</v>
      </c>
      <c r="C26" s="155">
        <f>IF(R26="",IF(ΓΕΝΙΚΑ!$B$19="ΝΑΙ",14680,""),"")</f>
        <v>14680</v>
      </c>
      <c r="D26" s="156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22</v>
      </c>
      <c r="H26" s="110">
        <f t="shared" si="1"/>
        <v>22</v>
      </c>
      <c r="I26" s="58"/>
      <c r="J26" s="110" t="str">
        <f t="shared" si="2"/>
        <v/>
      </c>
      <c r="K26" s="47">
        <f t="shared" si="3"/>
        <v>22</v>
      </c>
      <c r="L26" s="53"/>
      <c r="M26" s="53" t="str">
        <f t="shared" si="7"/>
        <v/>
      </c>
      <c r="N26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6" s="163" t="str">
        <f t="shared" si="6"/>
        <v>Μισή εργάσιμη ημέρα</v>
      </c>
      <c r="P26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6" s="139"/>
      <c r="R26" s="93" t="str">
        <f t="shared" si="5"/>
        <v/>
      </c>
      <c r="S26" s="96" t="str">
        <f>IF(AND(ΠΕΡΙΦΕΡΕΙΑ!B10="Καθόλου",OR(G12&lt;&gt;"",I12&lt;&gt;"",L12&lt;&gt;"")),Y12,IF(AND(K26="",ΠΕΡΙΦΕΡΕΙΑ!B10&lt;&gt;"Καθόλου"),T12,""))</f>
        <v/>
      </c>
      <c r="T26" s="182"/>
      <c r="U26" s="182"/>
      <c r="V26" s="182"/>
      <c r="W26" s="182"/>
      <c r="X26" s="182"/>
      <c r="Y26" s="183" t="s">
        <v>865</v>
      </c>
    </row>
    <row r="27" spans="1:25" s="13" customFormat="1" ht="106.5" thickTop="1" thickBot="1" x14ac:dyDescent="0.3">
      <c r="A27" s="51" t="str">
        <f t="shared" si="0"/>
        <v>F04</v>
      </c>
      <c r="B27" s="120" t="str">
        <f>ΓΕΝΙΚΑ!$C$4</f>
        <v>OTE</v>
      </c>
      <c r="C27" s="32">
        <f>IF(R27="",IF(ΓΕΝΙΚΑ!$B$19="ΝΑΙ",14682,""),"")</f>
        <v>14682</v>
      </c>
      <c r="D27" s="157" t="str">
        <f>IF(ΓΕΝΙΚΑ!$B$19="ΝΑΙ","Π. ΚΡΗΤΗΣ","")</f>
        <v>Π. ΚΡΗΤΗΣ</v>
      </c>
      <c r="E27" s="47" t="s">
        <v>410</v>
      </c>
      <c r="F27" s="47">
        <v>95</v>
      </c>
      <c r="G27" s="58">
        <v>22</v>
      </c>
      <c r="H27" s="110">
        <f t="shared" si="1"/>
        <v>22</v>
      </c>
      <c r="I27" s="58"/>
      <c r="J27" s="110" t="str">
        <f t="shared" si="2"/>
        <v/>
      </c>
      <c r="K27" s="47">
        <f t="shared" si="3"/>
        <v>22</v>
      </c>
      <c r="L27" s="53"/>
      <c r="M27" s="53" t="str">
        <f t="shared" si="7"/>
        <v/>
      </c>
      <c r="N27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7" s="163" t="str">
        <f t="shared" si="6"/>
        <v>Μισή εργάσιμη ημέρα</v>
      </c>
      <c r="P27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7" s="139"/>
      <c r="R27" s="93" t="str">
        <f t="shared" si="5"/>
        <v/>
      </c>
      <c r="S27" s="96" t="str">
        <f>IF(AND(ΠΕΡΙΦΕΡΕΙΑ!B11="Καθόλου",OR(G13&lt;&gt;"",I13&lt;&gt;"",L13&lt;&gt;"")),Y13,IF(AND(K27="",ΠΕΡΙΦΕΡΕΙΑ!B11&lt;&gt;"Καθόλου"),T13,""))</f>
        <v/>
      </c>
      <c r="T27" s="182"/>
      <c r="U27" s="182"/>
      <c r="V27" s="182"/>
      <c r="W27" s="182"/>
      <c r="X27" s="182"/>
      <c r="Y27" s="183" t="s">
        <v>865</v>
      </c>
    </row>
    <row r="28" spans="1:25" s="13" customFormat="1" ht="106.5" thickTop="1" thickBot="1" x14ac:dyDescent="0.3">
      <c r="A28" s="51" t="str">
        <f t="shared" si="0"/>
        <v>F04</v>
      </c>
      <c r="B28" s="120" t="str">
        <f>ΓΕΝΙΚΑ!$C$4</f>
        <v>OTE</v>
      </c>
      <c r="C28" s="155">
        <f>IF(R28="",IF(ΓΕΝΙΚΑ!$B$19="ΝΑΙ",14684,""),"")</f>
        <v>14684</v>
      </c>
      <c r="D28" s="156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27</v>
      </c>
      <c r="H28" s="110">
        <f t="shared" si="1"/>
        <v>27</v>
      </c>
      <c r="I28" s="58"/>
      <c r="J28" s="110" t="str">
        <f t="shared" si="2"/>
        <v/>
      </c>
      <c r="K28" s="47">
        <f t="shared" si="3"/>
        <v>27</v>
      </c>
      <c r="L28" s="53"/>
      <c r="M28" s="53" t="str">
        <f t="shared" si="7"/>
        <v/>
      </c>
      <c r="N28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8" s="163" t="str">
        <f t="shared" si="6"/>
        <v>Μισή εργάσιμη ημέρα</v>
      </c>
      <c r="P28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8" s="139"/>
      <c r="R28" s="93" t="str">
        <f t="shared" si="5"/>
        <v/>
      </c>
      <c r="S28" s="96" t="str">
        <f>IF(AND(ΠΕΡΙΦΕΡΕΙΑ!B12="Καθόλου",OR(G14&lt;&gt;"",I14&lt;&gt;"",L14&lt;&gt;"")),Y14,IF(AND(K28="",ΠΕΡΙΦΕΡΕΙΑ!B12&lt;&gt;"Καθόλου"),T14,""))</f>
        <v/>
      </c>
      <c r="T28" s="182"/>
      <c r="U28" s="182"/>
      <c r="V28" s="182"/>
      <c r="W28" s="182"/>
      <c r="X28" s="182"/>
      <c r="Y28" s="183" t="s">
        <v>865</v>
      </c>
    </row>
    <row r="29" spans="1:25" s="13" customFormat="1" ht="106.5" thickTop="1" thickBot="1" x14ac:dyDescent="0.3">
      <c r="A29" s="51" t="str">
        <f t="shared" si="0"/>
        <v>F04</v>
      </c>
      <c r="B29" s="120" t="str">
        <f>ΓΕΝΙΚΑ!$C$4</f>
        <v>OTE</v>
      </c>
      <c r="C29" s="32">
        <f>IF(R29="",IF(ΓΕΝΙΚΑ!$B$19="ΝΑΙ",14686,""),"")</f>
        <v>14686</v>
      </c>
      <c r="D29" s="157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22</v>
      </c>
      <c r="H29" s="110">
        <f t="shared" si="1"/>
        <v>22</v>
      </c>
      <c r="I29" s="58"/>
      <c r="J29" s="110" t="str">
        <f t="shared" si="2"/>
        <v/>
      </c>
      <c r="K29" s="47">
        <f t="shared" si="3"/>
        <v>22</v>
      </c>
      <c r="L29" s="53"/>
      <c r="M29" s="53" t="str">
        <f t="shared" si="7"/>
        <v/>
      </c>
      <c r="N29" s="163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29" s="163" t="str">
        <f t="shared" si="6"/>
        <v>Μισή εργάσιμη ημέρα</v>
      </c>
      <c r="P29" s="164" t="str">
        <f t="shared" si="6"/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29" s="139"/>
      <c r="R29" s="93" t="str">
        <f t="shared" si="5"/>
        <v/>
      </c>
      <c r="S29" s="96" t="str">
        <f>IF(AND(ΠΕΡΙΦΕΡΕΙΑ!B13="Καθόλου",OR(G15&lt;&gt;"",I15&lt;&gt;"",L15&lt;&gt;"")),Y15,IF(AND(K29="",ΠΕΡΙΦΕΡΕΙΑ!B13&lt;&gt;"Καθόλου"),T15,""))</f>
        <v/>
      </c>
      <c r="T29" s="182"/>
      <c r="U29" s="182"/>
      <c r="V29" s="182"/>
      <c r="W29" s="182"/>
      <c r="X29" s="182"/>
      <c r="Y29" s="183" t="s">
        <v>865</v>
      </c>
    </row>
    <row r="30" spans="1:25" s="13" customFormat="1" ht="106.5" thickTop="1" thickBot="1" x14ac:dyDescent="0.3">
      <c r="A30" s="52" t="str">
        <f t="shared" si="0"/>
        <v>F04</v>
      </c>
      <c r="B30" s="120" t="str">
        <f>ΓΕΝΙΚΑ!$C$4</f>
        <v>OTE</v>
      </c>
      <c r="C30" s="158">
        <f>IF(R30="",IF(ΓΕΝΙΚΑ!$B$19="ΝΑΙ",14688,""),"")</f>
        <v>14688</v>
      </c>
      <c r="D30" s="159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20</v>
      </c>
      <c r="H30" s="113">
        <f t="shared" si="1"/>
        <v>20</v>
      </c>
      <c r="I30" s="59"/>
      <c r="J30" s="110" t="str">
        <f t="shared" si="2"/>
        <v/>
      </c>
      <c r="K30" s="49">
        <f t="shared" si="3"/>
        <v>20</v>
      </c>
      <c r="L30" s="54"/>
      <c r="M30" s="54" t="str">
        <f t="shared" si="7"/>
        <v/>
      </c>
      <c r="N30" s="165" t="str">
        <f t="shared" si="6"/>
        <v>Μέσω Καταστημάτων :
Δευτέρα - Σάββατο : Ώρες λειτουργίας καταστημάτων 
Μέσω τηλεφώνου 13888 : Δευτέρα - Κυριακή: 08:00 - 23:00 (εκτός επίσημων αργιών)</v>
      </c>
      <c r="O30" s="165" t="str">
        <f t="shared" si="6"/>
        <v>Μισή εργάσιμη ημέρα</v>
      </c>
      <c r="P30" s="166" t="str">
        <f>P$3</f>
        <v>Το ποσοστό των παραγγελιών που έχουν ολοκληρωθεί μέχρι την ημερομηνία που συμφωνήθηκε με τον πελάτη δεν μπορεί να υπολογιστεί καθόσον δεν υπάρχει συμβατική προσυμφωνημένη ημερομηνία παράδοσης της παραγγελίας.</v>
      </c>
      <c r="Q30" s="139"/>
      <c r="R30" s="94" t="str">
        <f t="shared" si="5"/>
        <v/>
      </c>
      <c r="S30" s="96" t="str">
        <f>IF(AND(ΠΕΡΙΦΕΡΕΙΑ!B14="Καθόλου",OR(G16&lt;&gt;"",I16&lt;&gt;"",L16&lt;&gt;"")),Y16,IF(AND(K30="",ΠΕΡΙΦΕΡΕΙΑ!B14&lt;&gt;"Καθόλου"),T16,""))</f>
        <v/>
      </c>
      <c r="T30" s="182"/>
      <c r="U30" s="182"/>
      <c r="V30" s="182"/>
      <c r="W30" s="182"/>
      <c r="X30" s="182"/>
      <c r="Y30" s="183" t="s">
        <v>865</v>
      </c>
    </row>
  </sheetData>
  <sheetProtection algorithmName="SHA-512" hashValue="5Dd2SalGfTFklQzsoh5f9Z23dpJLA0gW0Dq8ubxFpmVCNA2D1TfjmxiSxmQ96fLRpeK2Tfb9ArA3cLZ3Qn3BGQ==" saltValue="kZbokScM47XZrlQo7rLVLQ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70" zoomScaleNormal="70" workbookViewId="0">
      <selection activeCell="I4" sqref="I4:I16"/>
    </sheetView>
  </sheetViews>
  <sheetFormatPr defaultColWidth="0" defaultRowHeight="15" zeroHeight="1" x14ac:dyDescent="0.25"/>
  <cols>
    <col min="1" max="1" width="50.140625" style="139" customWidth="1"/>
    <col min="2" max="2" width="22.42578125" style="140" hidden="1" customWidth="1"/>
    <col min="3" max="4" width="23" style="139" hidden="1" customWidth="1"/>
    <col min="5" max="5" width="38.5703125" style="139" customWidth="1"/>
    <col min="6" max="6" width="28.28515625" style="140" customWidth="1"/>
    <col min="7" max="7" width="28.28515625" style="139" customWidth="1"/>
    <col min="8" max="8" width="28.28515625" style="140" hidden="1" customWidth="1"/>
    <col min="9" max="9" width="28.28515625" style="139" customWidth="1"/>
    <col min="10" max="10" width="28.28515625" style="140" hidden="1" customWidth="1"/>
    <col min="11" max="11" width="40.28515625" style="139" customWidth="1"/>
    <col min="12" max="12" width="31.28515625" style="139" customWidth="1"/>
    <col min="13" max="13" width="7.140625" style="139" customWidth="1"/>
    <col min="14" max="14" width="16.140625" style="139" customWidth="1"/>
    <col min="15" max="15" width="51.28515625" style="139" customWidth="1"/>
    <col min="16" max="16384" width="9.140625" style="139" hidden="1"/>
  </cols>
  <sheetData>
    <row r="1" spans="1:15" ht="15.75" hidden="1" thickBot="1" x14ac:dyDescent="0.3">
      <c r="A1" t="s">
        <v>478</v>
      </c>
      <c r="B1" s="111" t="s">
        <v>479</v>
      </c>
      <c r="C1" s="2" t="s">
        <v>538</v>
      </c>
      <c r="D1" s="2" t="s">
        <v>539</v>
      </c>
      <c r="E1" s="2" t="s">
        <v>480</v>
      </c>
      <c r="F1" s="111" t="s">
        <v>497</v>
      </c>
      <c r="G1" t="s">
        <v>482</v>
      </c>
      <c r="H1" s="111" t="s">
        <v>498</v>
      </c>
      <c r="I1" t="s">
        <v>482</v>
      </c>
      <c r="J1" s="111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2" t="s">
        <v>27</v>
      </c>
      <c r="C2" s="4"/>
      <c r="D2" s="4"/>
      <c r="E2" s="4" t="s">
        <v>473</v>
      </c>
      <c r="F2" s="112" t="s">
        <v>516</v>
      </c>
      <c r="G2" s="4" t="s">
        <v>518</v>
      </c>
      <c r="H2" s="112" t="s">
        <v>518</v>
      </c>
      <c r="I2" s="4" t="s">
        <v>517</v>
      </c>
      <c r="J2" s="112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150" customHeight="1" thickTop="1" thickBot="1" x14ac:dyDescent="0.3">
      <c r="A3" s="25" t="s">
        <v>474</v>
      </c>
      <c r="B3" s="115" t="str">
        <f>ΓΕΝΙΚΑ!$C$4</f>
        <v>OTE</v>
      </c>
      <c r="C3" s="34">
        <f>IF(N3="",IF(ΓΕΝΙΚΑ!$B$20="ΝΑΙ",15300,""),"")</f>
        <v>15300</v>
      </c>
      <c r="D3" s="154" t="str">
        <f>IF(ΓΕΝΙΚΑ!$B$20="ΝΑΙ","ΠΑΝΕΛΛΑΔΙΚΑ","")</f>
        <v>ΠΑΝΕΛΛΑΔΙΚΑ</v>
      </c>
      <c r="E3" s="26" t="s">
        <v>486</v>
      </c>
      <c r="F3" s="110">
        <f>IF(AND(ISNUMBER(G3),ISNUMBER(I3),I3&lt;&gt;0),ROUND(G3/I3,2),"")</f>
        <v>0.03</v>
      </c>
      <c r="G3" s="63">
        <v>81324</v>
      </c>
      <c r="H3" s="167">
        <f>IF(ISNUMBER(G3),ROUND(G3,0),"")</f>
        <v>81324</v>
      </c>
      <c r="I3" s="60">
        <v>2661963.7734806598</v>
      </c>
      <c r="J3" s="167">
        <f>IF(ISNUMBER(I3),ROUND(I3,0),"")</f>
        <v>2661964</v>
      </c>
      <c r="K3" s="168" t="s">
        <v>878</v>
      </c>
      <c r="L3" s="169"/>
      <c r="N3" s="93" t="str">
        <f>IF(O3="","","ΣΦΑΛΜΑ")</f>
        <v/>
      </c>
      <c r="O3" s="137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43.5" customHeight="1" thickTop="1" thickBot="1" x14ac:dyDescent="0.3">
      <c r="A4" s="27" t="str">
        <f t="shared" ref="A4:A16" si="0">A$3</f>
        <v>F05</v>
      </c>
      <c r="B4" s="115" t="str">
        <f>ΓΕΝΙΚΑ!$C$4</f>
        <v>OTE</v>
      </c>
      <c r="C4" s="155">
        <f>IF(N4="",IF(ΓΕΝΙΚΑ!$B$20="ΝΑΙ",14664,""),"")</f>
        <v>14664</v>
      </c>
      <c r="D4" s="156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10">
        <f t="shared" ref="F4:F16" si="1">IF(AND(ISNUMBER(G4),ISNUMBER(I4),I4&lt;&gt;0),ROUND(G4/I4,2),"")</f>
        <v>0.02</v>
      </c>
      <c r="G4" s="61">
        <v>2680</v>
      </c>
      <c r="H4" s="167">
        <f t="shared" ref="H4:H16" si="2">IF(ISNUMBER(G4),ROUND(G4,0),"")</f>
        <v>2680</v>
      </c>
      <c r="I4" s="61">
        <v>109426</v>
      </c>
      <c r="J4" s="167">
        <f t="shared" ref="J4:J16" si="3">IF(ISNUMBER(I4),ROUND(I4,0),"")</f>
        <v>109426</v>
      </c>
      <c r="K4" s="170" t="str">
        <f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4" s="171">
        <f>L$3</f>
        <v>0</v>
      </c>
      <c r="N4" s="93" t="str">
        <f t="shared" ref="N4:N16" si="4">IF(O4="","","ΣΦΑΛΜΑ")</f>
        <v/>
      </c>
      <c r="O4" s="137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48" customHeight="1" thickTop="1" thickBot="1" x14ac:dyDescent="0.3">
      <c r="A5" s="27" t="str">
        <f t="shared" si="0"/>
        <v>F05</v>
      </c>
      <c r="B5" s="115" t="str">
        <f>ΓΕΝΙΚΑ!$C$4</f>
        <v>OTE</v>
      </c>
      <c r="C5" s="32">
        <f>IF(N5="",IF(ΓΕΝΙΚΑ!$B$20="ΝΑΙ",14666,""),"")</f>
        <v>14666</v>
      </c>
      <c r="D5" s="157" t="str">
        <f>IF(ΓΕΝΙΚΑ!$B$20="ΝΑΙ","Π. ΑΤΤΙΚΗΣ","")</f>
        <v>Π. ΑΤΤΙΚΗΣ</v>
      </c>
      <c r="E5" s="8" t="s">
        <v>39</v>
      </c>
      <c r="F5" s="110">
        <f t="shared" si="1"/>
        <v>0.03</v>
      </c>
      <c r="G5" s="61">
        <v>30791</v>
      </c>
      <c r="H5" s="167">
        <f t="shared" si="2"/>
        <v>30791</v>
      </c>
      <c r="I5" s="61">
        <v>999035</v>
      </c>
      <c r="J5" s="167">
        <f t="shared" si="3"/>
        <v>999035</v>
      </c>
      <c r="K5" s="170" t="str">
        <f t="shared" ref="K5:L16" si="5">K$3</f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5" s="171">
        <f t="shared" si="5"/>
        <v>0</v>
      </c>
      <c r="N5" s="93" t="str">
        <f t="shared" si="4"/>
        <v/>
      </c>
      <c r="O5" s="137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28.5" customHeight="1" thickTop="1" thickBot="1" x14ac:dyDescent="0.3">
      <c r="A6" s="27" t="str">
        <f t="shared" si="0"/>
        <v>F05</v>
      </c>
      <c r="B6" s="115" t="str">
        <f>ΓΕΝΙΚΑ!$C$4</f>
        <v>OTE</v>
      </c>
      <c r="C6" s="155">
        <f>IF(N6="",IF(ΓΕΝΙΚΑ!$B$20="ΝΑΙ",14668,""),"")</f>
        <v>14668</v>
      </c>
      <c r="D6" s="156" t="str">
        <f>IF(ΓΕΝΙΚΑ!$B$20="ΝΑΙ","Π. ΒΟΡΕΙΟΥ ΑΙΓΑΙΟΥ","")</f>
        <v>Π. ΒΟΡΕΙΟΥ ΑΙΓΑΙΟΥ</v>
      </c>
      <c r="E6" s="8" t="s">
        <v>403</v>
      </c>
      <c r="F6" s="110">
        <f t="shared" si="1"/>
        <v>0.03</v>
      </c>
      <c r="G6" s="61">
        <v>1975</v>
      </c>
      <c r="H6" s="167">
        <f t="shared" si="2"/>
        <v>1975</v>
      </c>
      <c r="I6" s="61">
        <v>63587</v>
      </c>
      <c r="J6" s="167">
        <f t="shared" si="3"/>
        <v>63587</v>
      </c>
      <c r="K6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6" s="171">
        <f t="shared" si="5"/>
        <v>0</v>
      </c>
      <c r="N6" s="93" t="str">
        <f t="shared" si="4"/>
        <v/>
      </c>
      <c r="O6" s="137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47.25" customHeight="1" thickTop="1" thickBot="1" x14ac:dyDescent="0.3">
      <c r="A7" s="27" t="str">
        <f t="shared" si="0"/>
        <v>F05</v>
      </c>
      <c r="B7" s="115" t="str">
        <f>ΓΕΝΙΚΑ!$C$4</f>
        <v>OTE</v>
      </c>
      <c r="C7" s="32">
        <f>IF(N7="",IF(ΓΕΝΙΚΑ!$B$20="ΝΑΙ",14670,""),"")</f>
        <v>14670</v>
      </c>
      <c r="D7" s="157" t="str">
        <f>IF(ΓΕΝΙΚΑ!$B$20="ΝΑΙ","Π. ΔΥΤΙΚΗΣ ΕΛΛΑΔΑΣ","")</f>
        <v>Π. ΔΥΤΙΚΗΣ ΕΛΛΑΔΑΣ</v>
      </c>
      <c r="E7" s="8" t="s">
        <v>404</v>
      </c>
      <c r="F7" s="110">
        <f t="shared" si="1"/>
        <v>0.04</v>
      </c>
      <c r="G7" s="61">
        <v>5875</v>
      </c>
      <c r="H7" s="167">
        <f t="shared" si="2"/>
        <v>5875</v>
      </c>
      <c r="I7" s="61">
        <v>144134</v>
      </c>
      <c r="J7" s="167">
        <f t="shared" si="3"/>
        <v>144134</v>
      </c>
      <c r="K7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7" s="171">
        <f t="shared" si="5"/>
        <v>0</v>
      </c>
      <c r="N7" s="93" t="str">
        <f t="shared" si="4"/>
        <v/>
      </c>
      <c r="O7" s="137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66.5" thickTop="1" thickBot="1" x14ac:dyDescent="0.3">
      <c r="A8" s="27" t="str">
        <f t="shared" si="0"/>
        <v>F05</v>
      </c>
      <c r="B8" s="115" t="str">
        <f>ΓΕΝΙΚΑ!$C$4</f>
        <v>OTE</v>
      </c>
      <c r="C8" s="155">
        <f>IF(N8="",IF(ΓΕΝΙΚΑ!$B$20="ΝΑΙ",14672,""),"")</f>
        <v>14672</v>
      </c>
      <c r="D8" s="156" t="str">
        <f>IF(ΓΕΝΙΚΑ!$B$20="ΝΑΙ","Π. ΔΥΤΙΚΗΣ ΜΑΚΕΔΟΝΙΑΣ","")</f>
        <v>Π. ΔΥΤΙΚΗΣ ΜΑΚΕΔΟΝΙΑΣ</v>
      </c>
      <c r="E8" s="8" t="s">
        <v>405</v>
      </c>
      <c r="F8" s="110">
        <f t="shared" si="1"/>
        <v>0.03</v>
      </c>
      <c r="G8" s="61">
        <v>1447</v>
      </c>
      <c r="H8" s="167">
        <f t="shared" si="2"/>
        <v>1447</v>
      </c>
      <c r="I8" s="61">
        <v>52084</v>
      </c>
      <c r="J8" s="167">
        <f t="shared" si="3"/>
        <v>52084</v>
      </c>
      <c r="K8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8" s="171">
        <f t="shared" si="5"/>
        <v>0</v>
      </c>
      <c r="N8" s="93" t="str">
        <f t="shared" si="4"/>
        <v/>
      </c>
      <c r="O8" s="137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6.5" thickTop="1" thickBot="1" x14ac:dyDescent="0.3">
      <c r="A9" s="27" t="str">
        <f t="shared" si="0"/>
        <v>F05</v>
      </c>
      <c r="B9" s="115" t="str">
        <f>ΓΕΝΙΚΑ!$C$4</f>
        <v>OTE</v>
      </c>
      <c r="C9" s="32">
        <f>IF(N9="",IF(ΓΕΝΙΚΑ!$B$20="ΝΑΙ",14674,""),"")</f>
        <v>14674</v>
      </c>
      <c r="D9" s="157" t="str">
        <f>IF(ΓΕΝΙΚΑ!$B$20="ΝΑΙ","Π. ΗΠΕΙΡΟΥ","")</f>
        <v>Π. ΗΠΕΙΡΟΥ</v>
      </c>
      <c r="E9" s="8" t="s">
        <v>406</v>
      </c>
      <c r="F9" s="110">
        <f t="shared" si="1"/>
        <v>0.04</v>
      </c>
      <c r="G9" s="61">
        <v>3015</v>
      </c>
      <c r="H9" s="167">
        <f t="shared" si="2"/>
        <v>3015</v>
      </c>
      <c r="I9" s="61">
        <v>69400</v>
      </c>
      <c r="J9" s="167">
        <f t="shared" si="3"/>
        <v>69400</v>
      </c>
      <c r="K9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9" s="171">
        <f t="shared" si="5"/>
        <v>0</v>
      </c>
      <c r="N9" s="93" t="str">
        <f t="shared" si="4"/>
        <v/>
      </c>
      <c r="O9" s="137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6.5" thickTop="1" thickBot="1" x14ac:dyDescent="0.3">
      <c r="A10" s="27" t="str">
        <f t="shared" si="0"/>
        <v>F05</v>
      </c>
      <c r="B10" s="115" t="str">
        <f>ΓΕΝΙΚΑ!$C$4</f>
        <v>OTE</v>
      </c>
      <c r="C10" s="155">
        <f>IF(N10="",IF(ΓΕΝΙΚΑ!$B$20="ΝΑΙ",14676,""),"")</f>
        <v>14676</v>
      </c>
      <c r="D10" s="156" t="str">
        <f>IF(ΓΕΝΙΚΑ!$B$20="ΝΑΙ","Π. ΘΕΣΣΑΛΙΑΣ","")</f>
        <v>Π. ΘΕΣΣΑΛΙΑΣ</v>
      </c>
      <c r="E10" s="8" t="s">
        <v>407</v>
      </c>
      <c r="F10" s="110">
        <f t="shared" si="1"/>
        <v>0.03</v>
      </c>
      <c r="G10" s="61">
        <v>4533</v>
      </c>
      <c r="H10" s="167">
        <f t="shared" si="2"/>
        <v>4533</v>
      </c>
      <c r="I10" s="61">
        <v>153672</v>
      </c>
      <c r="J10" s="167">
        <f t="shared" si="3"/>
        <v>153672</v>
      </c>
      <c r="K10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0" s="171">
        <f t="shared" si="5"/>
        <v>0</v>
      </c>
      <c r="N10" s="93" t="str">
        <f t="shared" si="4"/>
        <v/>
      </c>
      <c r="O10" s="137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6.5" thickTop="1" thickBot="1" x14ac:dyDescent="0.3">
      <c r="A11" s="27" t="str">
        <f t="shared" si="0"/>
        <v>F05</v>
      </c>
      <c r="B11" s="115" t="str">
        <f>ΓΕΝΙΚΑ!$C$4</f>
        <v>OTE</v>
      </c>
      <c r="C11" s="32">
        <f>IF(N11="",IF(ΓΕΝΙΚΑ!$B$20="ΝΑΙ",14678,""),"")</f>
        <v>14678</v>
      </c>
      <c r="D11" s="157" t="str">
        <f>IF(ΓΕΝΙΚΑ!$B$20="ΝΑΙ","Π. ΙΟΝΙΩΝ ΝΗΣΩΝ","")</f>
        <v>Π. ΙΟΝΙΩΝ ΝΗΣΩΝ</v>
      </c>
      <c r="E11" s="8" t="s">
        <v>408</v>
      </c>
      <c r="F11" s="110">
        <f t="shared" si="1"/>
        <v>0.04</v>
      </c>
      <c r="G11" s="61">
        <v>3315</v>
      </c>
      <c r="H11" s="167">
        <f t="shared" si="2"/>
        <v>3315</v>
      </c>
      <c r="I11" s="61">
        <v>83356</v>
      </c>
      <c r="J11" s="167">
        <f t="shared" si="3"/>
        <v>83356</v>
      </c>
      <c r="K11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1" s="171">
        <f t="shared" si="5"/>
        <v>0</v>
      </c>
      <c r="N11" s="93" t="str">
        <f t="shared" si="4"/>
        <v/>
      </c>
      <c r="O11" s="137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66.5" thickTop="1" thickBot="1" x14ac:dyDescent="0.3">
      <c r="A12" s="27" t="str">
        <f t="shared" si="0"/>
        <v>F05</v>
      </c>
      <c r="B12" s="115" t="str">
        <f>ΓΕΝΙΚΑ!$C$4</f>
        <v>OTE</v>
      </c>
      <c r="C12" s="155">
        <f>IF(N12="",IF(ΓΕΝΙΚΑ!$B$20="ΝΑΙ",14680,""),"")</f>
        <v>14680</v>
      </c>
      <c r="D12" s="156" t="str">
        <f>IF(ΓΕΝΙΚΑ!$B$20="ΝΑΙ","Π. ΚΕΝΤΡΙΚΗΣ ΜΑΚΕΔΟΝΙΑΣ","")</f>
        <v>Π. ΚΕΝΤΡΙΚΗΣ ΜΑΚΕΔΟΝΙΑΣ</v>
      </c>
      <c r="E12" s="8" t="s">
        <v>409</v>
      </c>
      <c r="F12" s="110">
        <f t="shared" si="1"/>
        <v>0.03</v>
      </c>
      <c r="G12" s="61">
        <v>10314</v>
      </c>
      <c r="H12" s="167">
        <f t="shared" si="2"/>
        <v>10314</v>
      </c>
      <c r="I12" s="61">
        <v>392681</v>
      </c>
      <c r="J12" s="167">
        <f t="shared" si="3"/>
        <v>392681</v>
      </c>
      <c r="K12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2" s="171">
        <f t="shared" si="5"/>
        <v>0</v>
      </c>
      <c r="N12" s="93" t="str">
        <f t="shared" si="4"/>
        <v/>
      </c>
      <c r="O12" s="137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6.5" thickTop="1" thickBot="1" x14ac:dyDescent="0.3">
      <c r="A13" s="27" t="str">
        <f t="shared" si="0"/>
        <v>F05</v>
      </c>
      <c r="B13" s="115" t="str">
        <f>ΓΕΝΙΚΑ!$C$4</f>
        <v>OTE</v>
      </c>
      <c r="C13" s="32">
        <f>IF(N13="",IF(ΓΕΝΙΚΑ!$B$20="ΝΑΙ",14682,""),"")</f>
        <v>14682</v>
      </c>
      <c r="D13" s="157" t="str">
        <f>IF(ΓΕΝΙΚΑ!$B$20="ΝΑΙ","Π. ΚΡΗΤΗΣ","")</f>
        <v>Π. ΚΡΗΤΗΣ</v>
      </c>
      <c r="E13" s="8" t="s">
        <v>410</v>
      </c>
      <c r="F13" s="110">
        <f t="shared" si="1"/>
        <v>0.02</v>
      </c>
      <c r="G13" s="61">
        <v>4045</v>
      </c>
      <c r="H13" s="167">
        <f t="shared" si="2"/>
        <v>4045</v>
      </c>
      <c r="I13" s="61">
        <v>168195</v>
      </c>
      <c r="J13" s="167">
        <f t="shared" si="3"/>
        <v>168195</v>
      </c>
      <c r="K13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3" s="171">
        <f t="shared" si="5"/>
        <v>0</v>
      </c>
      <c r="N13" s="93" t="str">
        <f t="shared" si="4"/>
        <v/>
      </c>
      <c r="O13" s="137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6.5" thickTop="1" thickBot="1" x14ac:dyDescent="0.3">
      <c r="A14" s="27" t="str">
        <f t="shared" si="0"/>
        <v>F05</v>
      </c>
      <c r="B14" s="115" t="str">
        <f>ΓΕΝΙΚΑ!$C$4</f>
        <v>OTE</v>
      </c>
      <c r="C14" s="155">
        <f>IF(N14="",IF(ΓΕΝΙΚΑ!$B$20="ΝΑΙ",14684,""),"")</f>
        <v>14684</v>
      </c>
      <c r="D14" s="156" t="str">
        <f>IF(ΓΕΝΙΚΑ!$B$20="ΝΑΙ","Π. ΝΟΤΙΟΥ ΑΙΓΑΙΟΥ","")</f>
        <v>Π. ΝΟΤΙΟΥ ΑΙΓΑΙΟΥ</v>
      </c>
      <c r="E14" s="8" t="s">
        <v>411</v>
      </c>
      <c r="F14" s="110">
        <f t="shared" si="1"/>
        <v>0.03</v>
      </c>
      <c r="G14" s="61">
        <v>3476</v>
      </c>
      <c r="H14" s="167">
        <f t="shared" si="2"/>
        <v>3476</v>
      </c>
      <c r="I14" s="61">
        <v>128756</v>
      </c>
      <c r="J14" s="167">
        <f t="shared" si="3"/>
        <v>128756</v>
      </c>
      <c r="K14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4" s="171">
        <f t="shared" si="5"/>
        <v>0</v>
      </c>
      <c r="N14" s="93" t="str">
        <f t="shared" si="4"/>
        <v/>
      </c>
      <c r="O14" s="137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6.5" thickTop="1" thickBot="1" x14ac:dyDescent="0.3">
      <c r="A15" s="27" t="str">
        <f t="shared" si="0"/>
        <v>F05</v>
      </c>
      <c r="B15" s="115" t="str">
        <f>ΓΕΝΙΚΑ!$C$4</f>
        <v>OTE</v>
      </c>
      <c r="C15" s="32">
        <f>IF(N15="",IF(ΓΕΝΙΚΑ!$B$20="ΝΑΙ",14686,""),"")</f>
        <v>14686</v>
      </c>
      <c r="D15" s="157" t="str">
        <f>IF(ΓΕΝΙΚΑ!$B$20="ΝΑΙ","Π. ΠΕΛΟΠΟΝΝΗΣΟΥ","")</f>
        <v>Π. ΠΕΛΟΠΟΝΝΗΣΟΥ</v>
      </c>
      <c r="E15" s="8" t="s">
        <v>412</v>
      </c>
      <c r="F15" s="110">
        <f t="shared" si="1"/>
        <v>0.03</v>
      </c>
      <c r="G15" s="61">
        <v>4873</v>
      </c>
      <c r="H15" s="167">
        <f t="shared" si="2"/>
        <v>4873</v>
      </c>
      <c r="I15" s="61">
        <v>159365</v>
      </c>
      <c r="J15" s="167">
        <f t="shared" si="3"/>
        <v>159365</v>
      </c>
      <c r="K15" s="170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5" s="171">
        <f t="shared" si="5"/>
        <v>0</v>
      </c>
      <c r="N15" s="93" t="str">
        <f t="shared" si="4"/>
        <v/>
      </c>
      <c r="O15" s="137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6.5" thickTop="1" thickBot="1" x14ac:dyDescent="0.3">
      <c r="A16" s="28" t="str">
        <f t="shared" si="0"/>
        <v>F05</v>
      </c>
      <c r="B16" s="115" t="str">
        <f>ΓΕΝΙΚΑ!$C$4</f>
        <v>OTE</v>
      </c>
      <c r="C16" s="158">
        <f>IF(N16="",IF(ΓΕΝΙΚΑ!$B$20="ΝΑΙ",14688,""),"")</f>
        <v>14688</v>
      </c>
      <c r="D16" s="159" t="str">
        <f>IF(ΓΕΝΙΚΑ!$B$20="ΝΑΙ","Π. ΣΤΕΡΕΑΣ ΕΛΛΑΔΑΣ","")</f>
        <v>Π. ΣΤΕΡΕΑΣ ΕΛΛΑΔΑΣ</v>
      </c>
      <c r="E16" s="7" t="s">
        <v>413</v>
      </c>
      <c r="F16" s="113">
        <f t="shared" si="1"/>
        <v>0.04</v>
      </c>
      <c r="G16" s="62">
        <v>4985</v>
      </c>
      <c r="H16" s="167">
        <f t="shared" si="2"/>
        <v>4985</v>
      </c>
      <c r="I16" s="62">
        <v>138273</v>
      </c>
      <c r="J16" s="167">
        <f t="shared" si="3"/>
        <v>138273</v>
      </c>
      <c r="K16" s="172" t="str">
        <f t="shared" si="5"/>
        <v>Μέσω Καταστημάτων :
Δευτέρα - Σάββατο : Ώρες λειτουργίας καταστημάτων 
Μέσω τηλεφώνου : 13888 
Δευτέρα-Κυριακή &amp; αργίες: 00:00-24:00 
Δωρεάν για όλη την Ελλάδα από δίκτυο ΟΤΕ
Η κλήση από κινητό ή σταθερό άλλου δικτύου ορίζεται σύμφωνα 
με τον ισχύοντα τιμοκατάλογο του εκάστοτε παρόχου</v>
      </c>
      <c r="L16" s="173">
        <f t="shared" si="5"/>
        <v>0</v>
      </c>
      <c r="N16" s="94" t="str">
        <f t="shared" si="4"/>
        <v/>
      </c>
      <c r="O16" s="17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66" zoomScaleNormal="66" workbookViewId="0">
      <selection activeCell="L30" sqref="L30"/>
    </sheetView>
  </sheetViews>
  <sheetFormatPr defaultColWidth="0" defaultRowHeight="15" zeroHeight="1" x14ac:dyDescent="0.25"/>
  <cols>
    <col min="1" max="1" width="27.28515625" style="133" customWidth="1"/>
    <col min="2" max="4" width="23" style="133" hidden="1" customWidth="1"/>
    <col min="5" max="5" width="25.140625" style="133" customWidth="1"/>
    <col min="6" max="6" width="27.28515625" style="133" customWidth="1"/>
    <col min="7" max="7" width="26.140625" style="133" customWidth="1"/>
    <col min="8" max="8" width="28.28515625" style="133" hidden="1" customWidth="1"/>
    <col min="9" max="9" width="22.42578125" style="133" customWidth="1"/>
    <col min="10" max="10" width="28.28515625" style="133" hidden="1" customWidth="1"/>
    <col min="11" max="12" width="28.28515625" style="133" customWidth="1"/>
    <col min="13" max="13" width="28.28515625" style="133" hidden="1" customWidth="1"/>
    <col min="14" max="14" width="31.5703125" style="133" customWidth="1"/>
    <col min="15" max="15" width="26.28515625" style="133" customWidth="1"/>
    <col min="16" max="16" width="31.28515625" style="133" customWidth="1"/>
    <col min="17" max="17" width="7.140625" style="133" customWidth="1"/>
    <col min="18" max="18" width="16.140625" style="133" customWidth="1"/>
    <col min="19" max="19" width="64.28515625" style="133" customWidth="1"/>
    <col min="20" max="24" width="9.140625" style="148" hidden="1" customWidth="1"/>
    <col min="25" max="16384" width="9.140625" style="133" hidden="1"/>
  </cols>
  <sheetData>
    <row r="1" spans="1:37" ht="15.75" hidden="1" thickBot="1" x14ac:dyDescent="0.3">
      <c r="A1" t="s">
        <v>478</v>
      </c>
      <c r="B1" t="s">
        <v>479</v>
      </c>
      <c r="C1" s="153" t="s">
        <v>538</v>
      </c>
      <c r="D1" s="153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83" customHeight="1" thickBot="1" x14ac:dyDescent="0.3">
      <c r="A2" s="3" t="s">
        <v>421</v>
      </c>
      <c r="B2" s="17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4"/>
      <c r="U2" s="184"/>
      <c r="V2" s="184" t="s">
        <v>867</v>
      </c>
      <c r="W2" s="184" t="s">
        <v>868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</row>
    <row r="3" spans="1:37" ht="75" customHeight="1" thickTop="1" x14ac:dyDescent="0.25">
      <c r="A3" s="25" t="s">
        <v>476</v>
      </c>
      <c r="B3" s="175" t="str">
        <f>ΓΕΝΙΚΑ!$C$4</f>
        <v>OTE</v>
      </c>
      <c r="C3" s="34">
        <f>IF(R3="",IF(ΓΕΝΙΚΑ!$B$21="ΝΑΙ",15300,""),"")</f>
        <v>15300</v>
      </c>
      <c r="D3" s="154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29</v>
      </c>
      <c r="H3" s="110">
        <f>IF(ISNUMBER(G3),ROUND(G3,2),"")</f>
        <v>29</v>
      </c>
      <c r="I3" s="55"/>
      <c r="J3" s="75" t="str">
        <f>IF(ISNUMBER(I3),ROUND(I3,2),"")</f>
        <v/>
      </c>
      <c r="K3" s="31">
        <f>IF(AND(ISNUMBER(G3),ISNUMBER(I3)),ROUND(G3+I3,0),IF(ISNUMBER(G3),ROUND(G3,0),IF(ISNUMBER(I3),ROUND(I3,0),"")))</f>
        <v>29</v>
      </c>
      <c r="L3" s="60">
        <v>17</v>
      </c>
      <c r="M3" s="203">
        <f>IF(ISNUMBER(L3),ROUND(L3,0),"")</f>
        <v>17</v>
      </c>
      <c r="N3" s="168" t="s">
        <v>882</v>
      </c>
      <c r="O3" s="177" t="s">
        <v>880</v>
      </c>
      <c r="P3" s="169"/>
      <c r="R3" s="40" t="str">
        <f>IF(S3="","","ΣΦΑΛΜΑ")</f>
        <v/>
      </c>
      <c r="S3" s="137" t="str">
        <f>CONCATENATE(IF(K3="",T3,""),IF(NOT(ISNUMBER(G3)),"",IF(G3&gt;G17,V3,"")),IF(NOT(ISNUMBER(I3)),"",IF(I3&gt;I17,W3,"")),IF(K3&gt;K17,U3,""),IF(L3="","",IF(ISNUMBER(L3),IF(L3&gt;L17,X3,""),Y3)))</f>
        <v/>
      </c>
      <c r="T3" s="184" t="s">
        <v>536</v>
      </c>
      <c r="U3" s="184" t="s">
        <v>866</v>
      </c>
      <c r="V3" s="184"/>
      <c r="W3" s="184"/>
      <c r="X3" s="184" t="s">
        <v>869</v>
      </c>
      <c r="Y3" s="184" t="s">
        <v>537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</row>
    <row r="4" spans="1:37" ht="180" x14ac:dyDescent="0.25">
      <c r="A4" s="27" t="str">
        <f t="shared" ref="A4:A30" si="0">A$3</f>
        <v>F06</v>
      </c>
      <c r="B4" s="175" t="str">
        <f>ΓΕΝΙΚΑ!$C$4</f>
        <v>OTE</v>
      </c>
      <c r="C4" s="155">
        <f>IF(R4="",IF(ΓΕΝΙΚΑ!$B$21="ΝΑΙ",14664,""),"")</f>
        <v>14664</v>
      </c>
      <c r="D4" s="156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27</v>
      </c>
      <c r="H4" s="110">
        <f t="shared" ref="H4:H30" si="1">IF(ISNUMBER(G4),ROUND(G4,2),"")</f>
        <v>27</v>
      </c>
      <c r="I4" s="58"/>
      <c r="J4" s="75" t="str">
        <f t="shared" ref="J4:J30" si="2">IF(ISNUMBER(I4),ROUND(I4,2),"")</f>
        <v/>
      </c>
      <c r="K4" s="31">
        <f t="shared" ref="K4:K30" si="3">IF(AND(ISNUMBER(G4),ISNUMBER(I4)),ROUND(G4+I4,0),IF(ISNUMBER(G4),ROUND(G4,0),IF(ISNUMBER(I4),ROUND(I4,0),"")))</f>
        <v>27</v>
      </c>
      <c r="L4" s="61">
        <v>17</v>
      </c>
      <c r="M4" s="203">
        <f t="shared" ref="M4:M30" si="4">IF(ISNUMBER(L4),ROUND(L4,0),"")</f>
        <v>17</v>
      </c>
      <c r="N4" s="170" t="str">
        <f>N$3</f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4" s="170" t="str">
        <f>O$3</f>
        <v>Μισή εργάσιμη ημέρα</v>
      </c>
      <c r="P4" s="171">
        <f>P$3</f>
        <v>0</v>
      </c>
      <c r="R4" s="40" t="str">
        <f t="shared" ref="R4:R30" si="5">IF(S4="","","ΣΦΑΛΜΑ")</f>
        <v/>
      </c>
      <c r="S4" s="149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4" t="s">
        <v>536</v>
      </c>
      <c r="U4" s="184" t="s">
        <v>866</v>
      </c>
      <c r="V4" s="184"/>
      <c r="W4" s="184"/>
      <c r="X4" s="184" t="s">
        <v>869</v>
      </c>
      <c r="Y4" s="184" t="s">
        <v>537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</row>
    <row r="5" spans="1:37" ht="180" x14ac:dyDescent="0.25">
      <c r="A5" s="27" t="str">
        <f t="shared" si="0"/>
        <v>F06</v>
      </c>
      <c r="B5" s="175" t="str">
        <f>ΓΕΝΙΚΑ!$C$4</f>
        <v>OTE</v>
      </c>
      <c r="C5" s="32">
        <f>IF(R5="",IF(ΓΕΝΙΚΑ!$B$21="ΝΑΙ",14666,""),"")</f>
        <v>14666</v>
      </c>
      <c r="D5" s="157" t="str">
        <f>IF(ΓΕΝΙΚΑ!$B$21="ΝΑΙ","Π. ΑΤΤΙΚΗΣ","")</f>
        <v>Π. ΑΤΤΙΚΗΣ</v>
      </c>
      <c r="E5" s="8" t="s">
        <v>39</v>
      </c>
      <c r="F5" s="8">
        <v>50</v>
      </c>
      <c r="G5" s="58">
        <v>42</v>
      </c>
      <c r="H5" s="110">
        <f t="shared" si="1"/>
        <v>42</v>
      </c>
      <c r="I5" s="58"/>
      <c r="J5" s="75" t="str">
        <f t="shared" si="2"/>
        <v/>
      </c>
      <c r="K5" s="31">
        <f t="shared" si="3"/>
        <v>42</v>
      </c>
      <c r="L5" s="61">
        <v>15</v>
      </c>
      <c r="M5" s="203">
        <f t="shared" si="4"/>
        <v>15</v>
      </c>
      <c r="N5" s="170" t="str">
        <f t="shared" ref="N5:P30" si="6">N$3</f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5" s="170" t="str">
        <f t="shared" si="6"/>
        <v>Μισή εργάσιμη ημέρα</v>
      </c>
      <c r="P5" s="171">
        <f t="shared" si="6"/>
        <v>0</v>
      </c>
      <c r="R5" s="40" t="str">
        <f t="shared" si="5"/>
        <v/>
      </c>
      <c r="S5" s="150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4" t="s">
        <v>536</v>
      </c>
      <c r="U5" s="184" t="s">
        <v>866</v>
      </c>
      <c r="V5" s="184"/>
      <c r="W5" s="184"/>
      <c r="X5" s="184" t="s">
        <v>869</v>
      </c>
      <c r="Y5" s="184" t="s">
        <v>537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</row>
    <row r="6" spans="1:37" ht="180" x14ac:dyDescent="0.25">
      <c r="A6" s="27" t="str">
        <f t="shared" si="0"/>
        <v>F06</v>
      </c>
      <c r="B6" s="175" t="str">
        <f>ΓΕΝΙΚΑ!$C$4</f>
        <v>OTE</v>
      </c>
      <c r="C6" s="155">
        <f>IF(R6="",IF(ΓΕΝΙΚΑ!$B$21="ΝΑΙ",14668,""),"")</f>
        <v>14668</v>
      </c>
      <c r="D6" s="156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26</v>
      </c>
      <c r="H6" s="110">
        <f t="shared" si="1"/>
        <v>26</v>
      </c>
      <c r="I6" s="58"/>
      <c r="J6" s="75" t="str">
        <f t="shared" si="2"/>
        <v/>
      </c>
      <c r="K6" s="31">
        <f t="shared" si="3"/>
        <v>26</v>
      </c>
      <c r="L6" s="61">
        <v>20</v>
      </c>
      <c r="M6" s="203">
        <f t="shared" si="4"/>
        <v>20</v>
      </c>
      <c r="N6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6" s="170" t="str">
        <f t="shared" si="6"/>
        <v>Μισή εργάσιμη ημέρα</v>
      </c>
      <c r="P6" s="171">
        <f t="shared" si="6"/>
        <v>0</v>
      </c>
      <c r="R6" s="40" t="str">
        <f t="shared" si="5"/>
        <v/>
      </c>
      <c r="S6" s="150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4" t="s">
        <v>536</v>
      </c>
      <c r="U6" s="184" t="s">
        <v>866</v>
      </c>
      <c r="V6" s="184"/>
      <c r="W6" s="184"/>
      <c r="X6" s="184" t="s">
        <v>869</v>
      </c>
      <c r="Y6" s="184" t="s">
        <v>537</v>
      </c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</row>
    <row r="7" spans="1:37" ht="180" x14ac:dyDescent="0.25">
      <c r="A7" s="27" t="str">
        <f t="shared" si="0"/>
        <v>F06</v>
      </c>
      <c r="B7" s="175" t="str">
        <f>ΓΕΝΙΚΑ!$C$4</f>
        <v>OTE</v>
      </c>
      <c r="C7" s="32">
        <f>IF(R7="",IF(ΓΕΝΙΚΑ!$B$21="ΝΑΙ",14670,""),"")</f>
        <v>14670</v>
      </c>
      <c r="D7" s="157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48</v>
      </c>
      <c r="H7" s="110">
        <f t="shared" si="1"/>
        <v>48</v>
      </c>
      <c r="I7" s="58"/>
      <c r="J7" s="75" t="str">
        <f t="shared" si="2"/>
        <v/>
      </c>
      <c r="K7" s="31">
        <f t="shared" si="3"/>
        <v>48</v>
      </c>
      <c r="L7" s="61">
        <v>20</v>
      </c>
      <c r="M7" s="203">
        <f t="shared" si="4"/>
        <v>20</v>
      </c>
      <c r="N7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7" s="170" t="str">
        <f t="shared" si="6"/>
        <v>Μισή εργάσιμη ημέρα</v>
      </c>
      <c r="P7" s="171">
        <f t="shared" si="6"/>
        <v>0</v>
      </c>
      <c r="R7" s="40" t="str">
        <f t="shared" si="5"/>
        <v/>
      </c>
      <c r="S7" s="150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4" t="s">
        <v>536</v>
      </c>
      <c r="U7" s="184" t="s">
        <v>866</v>
      </c>
      <c r="V7" s="184"/>
      <c r="W7" s="184"/>
      <c r="X7" s="184" t="s">
        <v>869</v>
      </c>
      <c r="Y7" s="184" t="s">
        <v>537</v>
      </c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ht="180" x14ac:dyDescent="0.25">
      <c r="A8" s="27" t="str">
        <f t="shared" si="0"/>
        <v>F06</v>
      </c>
      <c r="B8" s="175" t="str">
        <f>ΓΕΝΙΚΑ!$C$4</f>
        <v>OTE</v>
      </c>
      <c r="C8" s="155">
        <f>IF(R8="",IF(ΓΕΝΙΚΑ!$B$21="ΝΑΙ",14672,""),"")</f>
        <v>14672</v>
      </c>
      <c r="D8" s="156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24</v>
      </c>
      <c r="H8" s="110">
        <f t="shared" si="1"/>
        <v>24</v>
      </c>
      <c r="I8" s="58"/>
      <c r="J8" s="75" t="str">
        <f t="shared" si="2"/>
        <v/>
      </c>
      <c r="K8" s="31">
        <f t="shared" si="3"/>
        <v>24</v>
      </c>
      <c r="L8" s="61">
        <v>13</v>
      </c>
      <c r="M8" s="203">
        <f t="shared" si="4"/>
        <v>13</v>
      </c>
      <c r="N8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8" s="170" t="str">
        <f t="shared" si="6"/>
        <v>Μισή εργάσιμη ημέρα</v>
      </c>
      <c r="P8" s="171">
        <f t="shared" si="6"/>
        <v>0</v>
      </c>
      <c r="R8" s="40" t="str">
        <f t="shared" si="5"/>
        <v/>
      </c>
      <c r="S8" s="150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4" t="s">
        <v>536</v>
      </c>
      <c r="U8" s="184" t="s">
        <v>866</v>
      </c>
      <c r="V8" s="184"/>
      <c r="W8" s="184"/>
      <c r="X8" s="184" t="s">
        <v>869</v>
      </c>
      <c r="Y8" s="184" t="s">
        <v>537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</row>
    <row r="9" spans="1:37" ht="180" x14ac:dyDescent="0.25">
      <c r="A9" s="27" t="str">
        <f t="shared" si="0"/>
        <v>F06</v>
      </c>
      <c r="B9" s="175" t="str">
        <f>ΓΕΝΙΚΑ!$C$4</f>
        <v>OTE</v>
      </c>
      <c r="C9" s="32">
        <f>IF(R9="",IF(ΓΕΝΙΚΑ!$B$21="ΝΑΙ",14674,""),"")</f>
        <v>14674</v>
      </c>
      <c r="D9" s="157" t="str">
        <f>IF(ΓΕΝΙΚΑ!$B$21="ΝΑΙ","Π. ΗΠΕΙΡΟΥ","")</f>
        <v>Π. ΗΠΕΙΡΟΥ</v>
      </c>
      <c r="E9" s="8" t="s">
        <v>406</v>
      </c>
      <c r="F9" s="8">
        <v>50</v>
      </c>
      <c r="G9" s="58">
        <v>26</v>
      </c>
      <c r="H9" s="110">
        <f t="shared" si="1"/>
        <v>26</v>
      </c>
      <c r="I9" s="58"/>
      <c r="J9" s="75" t="str">
        <f t="shared" si="2"/>
        <v/>
      </c>
      <c r="K9" s="31">
        <f t="shared" si="3"/>
        <v>26</v>
      </c>
      <c r="L9" s="61">
        <v>16</v>
      </c>
      <c r="M9" s="203">
        <f t="shared" si="4"/>
        <v>16</v>
      </c>
      <c r="N9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9" s="170" t="str">
        <f t="shared" si="6"/>
        <v>Μισή εργάσιμη ημέρα</v>
      </c>
      <c r="P9" s="171">
        <f t="shared" si="6"/>
        <v>0</v>
      </c>
      <c r="R9" s="40" t="str">
        <f t="shared" si="5"/>
        <v/>
      </c>
      <c r="S9" s="150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4" t="s">
        <v>536</v>
      </c>
      <c r="U9" s="184" t="s">
        <v>866</v>
      </c>
      <c r="V9" s="184"/>
      <c r="W9" s="184"/>
      <c r="X9" s="184" t="s">
        <v>869</v>
      </c>
      <c r="Y9" s="184" t="s">
        <v>537</v>
      </c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</row>
    <row r="10" spans="1:37" ht="180" x14ac:dyDescent="0.25">
      <c r="A10" s="27" t="str">
        <f t="shared" si="0"/>
        <v>F06</v>
      </c>
      <c r="B10" s="175" t="str">
        <f>ΓΕΝΙΚΑ!$C$4</f>
        <v>OTE</v>
      </c>
      <c r="C10" s="155">
        <f>IF(R10="",IF(ΓΕΝΙΚΑ!$B$21="ΝΑΙ",14676,""),"")</f>
        <v>14676</v>
      </c>
      <c r="D10" s="156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30</v>
      </c>
      <c r="H10" s="110">
        <f t="shared" si="1"/>
        <v>30</v>
      </c>
      <c r="I10" s="58"/>
      <c r="J10" s="75" t="str">
        <f t="shared" si="2"/>
        <v/>
      </c>
      <c r="K10" s="31">
        <f t="shared" si="3"/>
        <v>30</v>
      </c>
      <c r="L10" s="61">
        <v>18</v>
      </c>
      <c r="M10" s="203">
        <f t="shared" si="4"/>
        <v>18</v>
      </c>
      <c r="N10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0" s="170" t="str">
        <f t="shared" si="6"/>
        <v>Μισή εργάσιμη ημέρα</v>
      </c>
      <c r="P10" s="171">
        <f t="shared" si="6"/>
        <v>0</v>
      </c>
      <c r="R10" s="40" t="str">
        <f t="shared" si="5"/>
        <v/>
      </c>
      <c r="S10" s="150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4" t="s">
        <v>536</v>
      </c>
      <c r="U10" s="184" t="s">
        <v>866</v>
      </c>
      <c r="V10" s="184"/>
      <c r="W10" s="184"/>
      <c r="X10" s="184" t="s">
        <v>869</v>
      </c>
      <c r="Y10" s="184" t="s">
        <v>537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1:37" ht="180" x14ac:dyDescent="0.25">
      <c r="A11" s="27" t="str">
        <f t="shared" si="0"/>
        <v>F06</v>
      </c>
      <c r="B11" s="175" t="str">
        <f>ΓΕΝΙΚΑ!$C$4</f>
        <v>OTE</v>
      </c>
      <c r="C11" s="32">
        <f>IF(R11="",IF(ΓΕΝΙΚΑ!$B$21="ΝΑΙ",14678,""),"")</f>
        <v>14678</v>
      </c>
      <c r="D11" s="157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43</v>
      </c>
      <c r="H11" s="110">
        <f t="shared" si="1"/>
        <v>43</v>
      </c>
      <c r="I11" s="58"/>
      <c r="J11" s="75" t="str">
        <f t="shared" si="2"/>
        <v/>
      </c>
      <c r="K11" s="31">
        <f t="shared" si="3"/>
        <v>43</v>
      </c>
      <c r="L11" s="61">
        <v>22</v>
      </c>
      <c r="M11" s="203">
        <f t="shared" si="4"/>
        <v>22</v>
      </c>
      <c r="N11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1" s="170" t="str">
        <f t="shared" si="6"/>
        <v>Μισή εργάσιμη ημέρα</v>
      </c>
      <c r="P11" s="171">
        <f t="shared" si="6"/>
        <v>0</v>
      </c>
      <c r="R11" s="40" t="str">
        <f t="shared" si="5"/>
        <v/>
      </c>
      <c r="S11" s="150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4" t="s">
        <v>536</v>
      </c>
      <c r="U11" s="184" t="s">
        <v>866</v>
      </c>
      <c r="V11" s="184"/>
      <c r="W11" s="184"/>
      <c r="X11" s="184" t="s">
        <v>869</v>
      </c>
      <c r="Y11" s="184" t="s">
        <v>537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</row>
    <row r="12" spans="1:37" ht="180" x14ac:dyDescent="0.25">
      <c r="A12" s="27" t="str">
        <f t="shared" si="0"/>
        <v>F06</v>
      </c>
      <c r="B12" s="175" t="str">
        <f>ΓΕΝΙΚΑ!$C$4</f>
        <v>OTE</v>
      </c>
      <c r="C12" s="155">
        <f>IF(R12="",IF(ΓΕΝΙΚΑ!$B$21="ΝΑΙ",14680,""),"")</f>
        <v>14680</v>
      </c>
      <c r="D12" s="156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26</v>
      </c>
      <c r="H12" s="110">
        <f t="shared" si="1"/>
        <v>26</v>
      </c>
      <c r="I12" s="58"/>
      <c r="J12" s="75" t="str">
        <f t="shared" si="2"/>
        <v/>
      </c>
      <c r="K12" s="31">
        <f t="shared" si="3"/>
        <v>26</v>
      </c>
      <c r="L12" s="61">
        <v>15</v>
      </c>
      <c r="M12" s="203">
        <f t="shared" si="4"/>
        <v>15</v>
      </c>
      <c r="N12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2" s="170" t="str">
        <f t="shared" si="6"/>
        <v>Μισή εργάσιμη ημέρα</v>
      </c>
      <c r="P12" s="171">
        <f t="shared" si="6"/>
        <v>0</v>
      </c>
      <c r="R12" s="40" t="str">
        <f t="shared" si="5"/>
        <v/>
      </c>
      <c r="S12" s="150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4" t="s">
        <v>536</v>
      </c>
      <c r="U12" s="184" t="s">
        <v>866</v>
      </c>
      <c r="V12" s="184"/>
      <c r="W12" s="184"/>
      <c r="X12" s="184" t="s">
        <v>869</v>
      </c>
      <c r="Y12" s="184" t="s">
        <v>537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</row>
    <row r="13" spans="1:37" ht="180" x14ac:dyDescent="0.25">
      <c r="A13" s="27" t="str">
        <f t="shared" si="0"/>
        <v>F06</v>
      </c>
      <c r="B13" s="175" t="str">
        <f>ΓΕΝΙΚΑ!$C$4</f>
        <v>OTE</v>
      </c>
      <c r="C13" s="32">
        <f>IF(R13="",IF(ΓΕΝΙΚΑ!$B$21="ΝΑΙ",14682,""),"")</f>
        <v>14682</v>
      </c>
      <c r="D13" s="157" t="str">
        <f>IF(ΓΕΝΙΚΑ!$B$21="ΝΑΙ","Π. ΚΡΗΤΗΣ","")</f>
        <v>Π. ΚΡΗΤΗΣ</v>
      </c>
      <c r="E13" s="8" t="s">
        <v>410</v>
      </c>
      <c r="F13" s="8">
        <v>50</v>
      </c>
      <c r="G13" s="58">
        <v>23</v>
      </c>
      <c r="H13" s="110">
        <f t="shared" si="1"/>
        <v>23</v>
      </c>
      <c r="I13" s="58"/>
      <c r="J13" s="75" t="str">
        <f t="shared" si="2"/>
        <v/>
      </c>
      <c r="K13" s="31">
        <f t="shared" si="3"/>
        <v>23</v>
      </c>
      <c r="L13" s="61">
        <v>6</v>
      </c>
      <c r="M13" s="203">
        <f t="shared" si="4"/>
        <v>6</v>
      </c>
      <c r="N13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3" s="170" t="str">
        <f t="shared" si="6"/>
        <v>Μισή εργάσιμη ημέρα</v>
      </c>
      <c r="P13" s="171">
        <f t="shared" si="6"/>
        <v>0</v>
      </c>
      <c r="R13" s="40" t="str">
        <f t="shared" si="5"/>
        <v/>
      </c>
      <c r="S13" s="150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4" t="s">
        <v>536</v>
      </c>
      <c r="U13" s="184" t="s">
        <v>866</v>
      </c>
      <c r="V13" s="184"/>
      <c r="W13" s="184"/>
      <c r="X13" s="184" t="s">
        <v>869</v>
      </c>
      <c r="Y13" s="184" t="s">
        <v>537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</row>
    <row r="14" spans="1:37" ht="180" x14ac:dyDescent="0.25">
      <c r="A14" s="27" t="str">
        <f t="shared" si="0"/>
        <v>F06</v>
      </c>
      <c r="B14" s="175" t="str">
        <f>ΓΕΝΙΚΑ!$C$4</f>
        <v>OTE</v>
      </c>
      <c r="C14" s="155">
        <f>IF(R14="",IF(ΓΕΝΙΚΑ!$B$21="ΝΑΙ",14684,""),"")</f>
        <v>14684</v>
      </c>
      <c r="D14" s="156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27</v>
      </c>
      <c r="H14" s="110">
        <f t="shared" si="1"/>
        <v>27</v>
      </c>
      <c r="I14" s="58"/>
      <c r="J14" s="75" t="str">
        <f t="shared" si="2"/>
        <v/>
      </c>
      <c r="K14" s="31">
        <f t="shared" si="3"/>
        <v>27</v>
      </c>
      <c r="L14" s="61">
        <v>16</v>
      </c>
      <c r="M14" s="203">
        <f t="shared" si="4"/>
        <v>16</v>
      </c>
      <c r="N14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4" s="170" t="str">
        <f t="shared" si="6"/>
        <v>Μισή εργάσιμη ημέρα</v>
      </c>
      <c r="P14" s="171">
        <f t="shared" si="6"/>
        <v>0</v>
      </c>
      <c r="R14" s="40" t="str">
        <f t="shared" si="5"/>
        <v/>
      </c>
      <c r="S14" s="150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4" t="s">
        <v>536</v>
      </c>
      <c r="U14" s="184" t="s">
        <v>866</v>
      </c>
      <c r="V14" s="184"/>
      <c r="W14" s="184"/>
      <c r="X14" s="184" t="s">
        <v>869</v>
      </c>
      <c r="Y14" s="184" t="s">
        <v>537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7" ht="180" x14ac:dyDescent="0.25">
      <c r="A15" s="27" t="str">
        <f t="shared" si="0"/>
        <v>F06</v>
      </c>
      <c r="B15" s="175" t="str">
        <f>ΓΕΝΙΚΑ!$C$4</f>
        <v>OTE</v>
      </c>
      <c r="C15" s="32">
        <f>IF(R15="",IF(ΓΕΝΙΚΑ!$B$21="ΝΑΙ",14686,""),"")</f>
        <v>14686</v>
      </c>
      <c r="D15" s="157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39</v>
      </c>
      <c r="H15" s="110">
        <f t="shared" si="1"/>
        <v>39</v>
      </c>
      <c r="I15" s="58"/>
      <c r="J15" s="75" t="str">
        <f t="shared" si="2"/>
        <v/>
      </c>
      <c r="K15" s="31">
        <f t="shared" si="3"/>
        <v>39</v>
      </c>
      <c r="L15" s="61">
        <v>21</v>
      </c>
      <c r="M15" s="203">
        <f t="shared" si="4"/>
        <v>21</v>
      </c>
      <c r="N15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5" s="170" t="str">
        <f t="shared" si="6"/>
        <v>Μισή εργάσιμη ημέρα</v>
      </c>
      <c r="P15" s="171">
        <f t="shared" si="6"/>
        <v>0</v>
      </c>
      <c r="R15" s="40" t="str">
        <f t="shared" si="5"/>
        <v/>
      </c>
      <c r="S15" s="150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4" t="s">
        <v>536</v>
      </c>
      <c r="U15" s="184" t="s">
        <v>866</v>
      </c>
      <c r="V15" s="184"/>
      <c r="W15" s="184"/>
      <c r="X15" s="184" t="s">
        <v>869</v>
      </c>
      <c r="Y15" s="184" t="s">
        <v>537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</row>
    <row r="16" spans="1:37" ht="180.75" thickBot="1" x14ac:dyDescent="0.3">
      <c r="A16" s="27" t="str">
        <f t="shared" si="0"/>
        <v>F06</v>
      </c>
      <c r="B16" s="175" t="str">
        <f>ΓΕΝΙΚΑ!$C$4</f>
        <v>OTE</v>
      </c>
      <c r="C16" s="158">
        <f>IF(R16="",IF(ΓΕΝΙΚΑ!$B$21="ΝΑΙ",14688,""),"")</f>
        <v>14688</v>
      </c>
      <c r="D16" s="159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24</v>
      </c>
      <c r="H16" s="110">
        <f t="shared" si="1"/>
        <v>24</v>
      </c>
      <c r="I16" s="59"/>
      <c r="J16" s="75" t="str">
        <f t="shared" si="2"/>
        <v/>
      </c>
      <c r="K16" s="33">
        <f t="shared" si="3"/>
        <v>24</v>
      </c>
      <c r="L16" s="62">
        <v>17</v>
      </c>
      <c r="M16" s="203">
        <f t="shared" si="4"/>
        <v>17</v>
      </c>
      <c r="N16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6" s="170" t="str">
        <f t="shared" si="6"/>
        <v>Μισή εργάσιμη ημέρα</v>
      </c>
      <c r="P16" s="171">
        <f t="shared" si="6"/>
        <v>0</v>
      </c>
      <c r="R16" s="40" t="str">
        <f t="shared" si="5"/>
        <v/>
      </c>
      <c r="S16" s="150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4" t="s">
        <v>536</v>
      </c>
      <c r="U16" s="184" t="s">
        <v>866</v>
      </c>
      <c r="V16" s="184"/>
      <c r="W16" s="184"/>
      <c r="X16" s="184" t="s">
        <v>869</v>
      </c>
      <c r="Y16" s="184" t="s">
        <v>537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</row>
    <row r="17" spans="1:37" ht="180" x14ac:dyDescent="0.25">
      <c r="A17" s="27" t="str">
        <f t="shared" si="0"/>
        <v>F06</v>
      </c>
      <c r="B17" s="175" t="str">
        <f>ΓΕΝΙΚΑ!$C$4</f>
        <v>OTE</v>
      </c>
      <c r="C17" s="34">
        <f>IF(R17="",IF(ΓΕΝΙΚΑ!$B$21="ΝΑΙ",15300,""),"")</f>
        <v>15300</v>
      </c>
      <c r="D17" s="154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268</v>
      </c>
      <c r="H17" s="110">
        <f t="shared" si="1"/>
        <v>268</v>
      </c>
      <c r="I17" s="55"/>
      <c r="J17" s="75" t="str">
        <f t="shared" si="2"/>
        <v/>
      </c>
      <c r="K17" s="31">
        <f t="shared" si="3"/>
        <v>268</v>
      </c>
      <c r="L17" s="63">
        <v>95</v>
      </c>
      <c r="M17" s="203">
        <f t="shared" si="4"/>
        <v>95</v>
      </c>
      <c r="N17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7" s="170" t="str">
        <f t="shared" si="6"/>
        <v>Μισή εργάσιμη ημέρα</v>
      </c>
      <c r="P17" s="171">
        <f t="shared" si="6"/>
        <v>0</v>
      </c>
      <c r="R17" s="40" t="str">
        <f t="shared" si="5"/>
        <v/>
      </c>
      <c r="S17" s="150" t="str">
        <f>IF(K17="",T3,"")</f>
        <v/>
      </c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</row>
    <row r="18" spans="1:37" ht="180" x14ac:dyDescent="0.25">
      <c r="A18" s="27" t="str">
        <f t="shared" si="0"/>
        <v>F06</v>
      </c>
      <c r="B18" s="175" t="str">
        <f>ΓΕΝΙΚΑ!$C$4</f>
        <v>OTE</v>
      </c>
      <c r="C18" s="155">
        <f>IF(R18="",IF(ΓΕΝΙΚΑ!$B$21="ΝΑΙ",14664,""),"")</f>
        <v>14664</v>
      </c>
      <c r="D18" s="156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262</v>
      </c>
      <c r="H18" s="110">
        <f t="shared" si="1"/>
        <v>262</v>
      </c>
      <c r="I18" s="58"/>
      <c r="J18" s="75" t="str">
        <f t="shared" si="2"/>
        <v/>
      </c>
      <c r="K18" s="31">
        <f t="shared" si="3"/>
        <v>262</v>
      </c>
      <c r="L18" s="61">
        <v>92</v>
      </c>
      <c r="M18" s="203">
        <f t="shared" si="4"/>
        <v>92</v>
      </c>
      <c r="N18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8" s="170" t="str">
        <f t="shared" si="6"/>
        <v>Μισή εργάσιμη ημέρα</v>
      </c>
      <c r="P18" s="171">
        <f t="shared" si="6"/>
        <v>0</v>
      </c>
      <c r="R18" s="40" t="str">
        <f t="shared" si="5"/>
        <v/>
      </c>
      <c r="S18" s="150" t="str">
        <f>IF(AND(K18="",ΠΕΡΙΦΕΡΕΙΑ!B2&lt;&gt;"Καθόλου"),T4,"")</f>
        <v/>
      </c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180" x14ac:dyDescent="0.25">
      <c r="A19" s="27" t="str">
        <f t="shared" si="0"/>
        <v>F06</v>
      </c>
      <c r="B19" s="175" t="str">
        <f>ΓΕΝΙΚΑ!$C$4</f>
        <v>OTE</v>
      </c>
      <c r="C19" s="32">
        <f>IF(R19="",IF(ΓΕΝΙΚΑ!$B$21="ΝΑΙ",14666,""),"")</f>
        <v>14666</v>
      </c>
      <c r="D19" s="157" t="str">
        <f>IF(ΓΕΝΙΚΑ!$B$21="ΝΑΙ","Π. ΑΤΤΙΚΗΣ","")</f>
        <v>Π. ΑΤΤΙΚΗΣ</v>
      </c>
      <c r="E19" s="8" t="s">
        <v>39</v>
      </c>
      <c r="F19" s="8">
        <v>95</v>
      </c>
      <c r="G19" s="58">
        <v>246</v>
      </c>
      <c r="H19" s="110">
        <f t="shared" si="1"/>
        <v>246</v>
      </c>
      <c r="I19" s="58"/>
      <c r="J19" s="75" t="str">
        <f t="shared" si="2"/>
        <v/>
      </c>
      <c r="K19" s="31">
        <f t="shared" si="3"/>
        <v>246</v>
      </c>
      <c r="L19" s="61">
        <v>88</v>
      </c>
      <c r="M19" s="203">
        <f t="shared" si="4"/>
        <v>88</v>
      </c>
      <c r="N19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19" s="170" t="str">
        <f t="shared" si="6"/>
        <v>Μισή εργάσιμη ημέρα</v>
      </c>
      <c r="P19" s="171">
        <f t="shared" si="6"/>
        <v>0</v>
      </c>
      <c r="R19" s="40" t="str">
        <f t="shared" si="5"/>
        <v/>
      </c>
      <c r="S19" s="150" t="str">
        <f>IF(AND(K19="",ΠΕΡΙΦΕΡΕΙΑ!B3&lt;&gt;"Καθόλου"),T5,"")</f>
        <v/>
      </c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</row>
    <row r="20" spans="1:37" ht="180" x14ac:dyDescent="0.25">
      <c r="A20" s="27" t="str">
        <f t="shared" si="0"/>
        <v>F06</v>
      </c>
      <c r="B20" s="175" t="str">
        <f>ΓΕΝΙΚΑ!$C$4</f>
        <v>OTE</v>
      </c>
      <c r="C20" s="155">
        <f>IF(R20="",IF(ΓΕΝΙΚΑ!$B$21="ΝΑΙ",14668,""),"")</f>
        <v>14668</v>
      </c>
      <c r="D20" s="156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431</v>
      </c>
      <c r="H20" s="110">
        <f t="shared" si="1"/>
        <v>431</v>
      </c>
      <c r="I20" s="58"/>
      <c r="J20" s="75" t="str">
        <f t="shared" si="2"/>
        <v/>
      </c>
      <c r="K20" s="31">
        <f t="shared" si="3"/>
        <v>431</v>
      </c>
      <c r="L20" s="61">
        <v>86</v>
      </c>
      <c r="M20" s="203">
        <f t="shared" si="4"/>
        <v>86</v>
      </c>
      <c r="N20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0" s="170" t="str">
        <f t="shared" si="6"/>
        <v>Μισή εργάσιμη ημέρα</v>
      </c>
      <c r="P20" s="171">
        <f t="shared" si="6"/>
        <v>0</v>
      </c>
      <c r="R20" s="40" t="str">
        <f t="shared" si="5"/>
        <v/>
      </c>
      <c r="S20" s="150" t="str">
        <f>IF(AND(K20="",ΠΕΡΙΦΕΡΕΙΑ!B4&lt;&gt;"Καθόλου"),T6,"")</f>
        <v/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</row>
    <row r="21" spans="1:37" ht="180" x14ac:dyDescent="0.25">
      <c r="A21" s="27" t="str">
        <f t="shared" si="0"/>
        <v>F06</v>
      </c>
      <c r="B21" s="175" t="str">
        <f>ΓΕΝΙΚΑ!$C$4</f>
        <v>OTE</v>
      </c>
      <c r="C21" s="32">
        <f>IF(R21="",IF(ΓΕΝΙΚΑ!$B$21="ΝΑΙ",14670,""),"")</f>
        <v>14670</v>
      </c>
      <c r="D21" s="157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385</v>
      </c>
      <c r="H21" s="110">
        <f t="shared" si="1"/>
        <v>385</v>
      </c>
      <c r="I21" s="58"/>
      <c r="J21" s="75" t="str">
        <f t="shared" si="2"/>
        <v/>
      </c>
      <c r="K21" s="31">
        <f t="shared" si="3"/>
        <v>385</v>
      </c>
      <c r="L21" s="61">
        <v>136</v>
      </c>
      <c r="M21" s="203">
        <f t="shared" si="4"/>
        <v>136</v>
      </c>
      <c r="N21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1" s="170" t="str">
        <f t="shared" si="6"/>
        <v>Μισή εργάσιμη ημέρα</v>
      </c>
      <c r="P21" s="171">
        <f t="shared" si="6"/>
        <v>0</v>
      </c>
      <c r="R21" s="40" t="str">
        <f t="shared" si="5"/>
        <v/>
      </c>
      <c r="S21" s="150" t="str">
        <f>IF(AND(K21="",ΠΕΡΙΦΕΡΕΙΑ!B5&lt;&gt;"Καθόλου"),T7,"")</f>
        <v/>
      </c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</row>
    <row r="22" spans="1:37" ht="180" x14ac:dyDescent="0.25">
      <c r="A22" s="27" t="str">
        <f t="shared" si="0"/>
        <v>F06</v>
      </c>
      <c r="B22" s="175" t="str">
        <f>ΓΕΝΙΚΑ!$C$4</f>
        <v>OTE</v>
      </c>
      <c r="C22" s="155">
        <f>IF(R22="",IF(ΓΕΝΙΚΑ!$B$21="ΝΑΙ",14672,""),"")</f>
        <v>14672</v>
      </c>
      <c r="D22" s="156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195</v>
      </c>
      <c r="H22" s="110">
        <f t="shared" si="1"/>
        <v>195</v>
      </c>
      <c r="I22" s="58"/>
      <c r="J22" s="75" t="str">
        <f t="shared" si="2"/>
        <v/>
      </c>
      <c r="K22" s="31">
        <f t="shared" si="3"/>
        <v>195</v>
      </c>
      <c r="L22" s="61">
        <v>65</v>
      </c>
      <c r="M22" s="203">
        <f t="shared" si="4"/>
        <v>65</v>
      </c>
      <c r="N22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2" s="170" t="str">
        <f t="shared" si="6"/>
        <v>Μισή εργάσιμη ημέρα</v>
      </c>
      <c r="P22" s="171">
        <f t="shared" si="6"/>
        <v>0</v>
      </c>
      <c r="R22" s="40" t="str">
        <f t="shared" si="5"/>
        <v/>
      </c>
      <c r="S22" s="150" t="str">
        <f>IF(AND(K22="",ΠΕΡΙΦΕΡΕΙΑ!B6&lt;&gt;"Καθόλου"),T8,"")</f>
        <v/>
      </c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</row>
    <row r="23" spans="1:37" ht="180" x14ac:dyDescent="0.25">
      <c r="A23" s="27" t="str">
        <f t="shared" si="0"/>
        <v>F06</v>
      </c>
      <c r="B23" s="175" t="str">
        <f>ΓΕΝΙΚΑ!$C$4</f>
        <v>OTE</v>
      </c>
      <c r="C23" s="32">
        <f>IF(R23="",IF(ΓΕΝΙΚΑ!$B$21="ΝΑΙ",14674,""),"")</f>
        <v>14674</v>
      </c>
      <c r="D23" s="157" t="str">
        <f>IF(ΓΕΝΙΚΑ!$B$21="ΝΑΙ","Π. ΗΠΕΙΡΟΥ","")</f>
        <v>Π. ΗΠΕΙΡΟΥ</v>
      </c>
      <c r="E23" s="8" t="s">
        <v>406</v>
      </c>
      <c r="F23" s="8">
        <v>95</v>
      </c>
      <c r="G23" s="58">
        <v>312</v>
      </c>
      <c r="H23" s="110">
        <f t="shared" si="1"/>
        <v>312</v>
      </c>
      <c r="I23" s="58"/>
      <c r="J23" s="75" t="str">
        <f t="shared" si="2"/>
        <v/>
      </c>
      <c r="K23" s="31">
        <f t="shared" si="3"/>
        <v>312</v>
      </c>
      <c r="L23" s="61">
        <v>99</v>
      </c>
      <c r="M23" s="203">
        <f t="shared" si="4"/>
        <v>99</v>
      </c>
      <c r="N23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3" s="170" t="str">
        <f t="shared" si="6"/>
        <v>Μισή εργάσιμη ημέρα</v>
      </c>
      <c r="P23" s="171">
        <f t="shared" si="6"/>
        <v>0</v>
      </c>
      <c r="R23" s="40" t="str">
        <f t="shared" si="5"/>
        <v/>
      </c>
      <c r="S23" s="150" t="str">
        <f>IF(AND(K23="",ΠΕΡΙΦΕΡΕΙΑ!B7&lt;&gt;"Καθόλου"),T9,"")</f>
        <v/>
      </c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180" x14ac:dyDescent="0.25">
      <c r="A24" s="27" t="str">
        <f t="shared" si="0"/>
        <v>F06</v>
      </c>
      <c r="B24" s="175" t="str">
        <f>ΓΕΝΙΚΑ!$C$4</f>
        <v>OTE</v>
      </c>
      <c r="C24" s="155">
        <f>IF(R24="",IF(ΓΕΝΙΚΑ!$B$21="ΝΑΙ",14676,""),"")</f>
        <v>14676</v>
      </c>
      <c r="D24" s="156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270</v>
      </c>
      <c r="H24" s="110">
        <f t="shared" si="1"/>
        <v>270</v>
      </c>
      <c r="I24" s="58"/>
      <c r="J24" s="75" t="str">
        <f t="shared" si="2"/>
        <v/>
      </c>
      <c r="K24" s="31">
        <f t="shared" si="3"/>
        <v>270</v>
      </c>
      <c r="L24" s="61">
        <v>104</v>
      </c>
      <c r="M24" s="203">
        <f t="shared" si="4"/>
        <v>104</v>
      </c>
      <c r="N24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4" s="170" t="str">
        <f t="shared" si="6"/>
        <v>Μισή εργάσιμη ημέρα</v>
      </c>
      <c r="P24" s="171">
        <f t="shared" si="6"/>
        <v>0</v>
      </c>
      <c r="R24" s="40" t="str">
        <f t="shared" si="5"/>
        <v/>
      </c>
      <c r="S24" s="150" t="str">
        <f>IF(AND(K24="",ΠΕΡΙΦΕΡΕΙΑ!B8&lt;&gt;"Καθόλου"),T10,"")</f>
        <v/>
      </c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180" x14ac:dyDescent="0.25">
      <c r="A25" s="27" t="str">
        <f t="shared" si="0"/>
        <v>F06</v>
      </c>
      <c r="B25" s="175" t="str">
        <f>ΓΕΝΙΚΑ!$C$4</f>
        <v>OTE</v>
      </c>
      <c r="C25" s="32">
        <f>IF(R25="",IF(ΓΕΝΙΚΑ!$B$21="ΝΑΙ",14678,""),"")</f>
        <v>14678</v>
      </c>
      <c r="D25" s="157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364</v>
      </c>
      <c r="H25" s="110">
        <f t="shared" si="1"/>
        <v>364</v>
      </c>
      <c r="I25" s="58"/>
      <c r="J25" s="75" t="str">
        <f t="shared" si="2"/>
        <v/>
      </c>
      <c r="K25" s="31">
        <f t="shared" si="3"/>
        <v>364</v>
      </c>
      <c r="L25" s="61">
        <v>160</v>
      </c>
      <c r="M25" s="203">
        <f t="shared" si="4"/>
        <v>160</v>
      </c>
      <c r="N25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5" s="170" t="str">
        <f t="shared" si="6"/>
        <v>Μισή εργάσιμη ημέρα</v>
      </c>
      <c r="P25" s="171">
        <f t="shared" si="6"/>
        <v>0</v>
      </c>
      <c r="R25" s="40" t="str">
        <f t="shared" si="5"/>
        <v/>
      </c>
      <c r="S25" s="150" t="str">
        <f>IF(AND(K25="",ΠΕΡΙΦΕΡΕΙΑ!B9&lt;&gt;"Καθόλου"),T11,"")</f>
        <v/>
      </c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</row>
    <row r="26" spans="1:37" ht="180" x14ac:dyDescent="0.25">
      <c r="A26" s="27" t="str">
        <f t="shared" si="0"/>
        <v>F06</v>
      </c>
      <c r="B26" s="175" t="str">
        <f>ΓΕΝΙΚΑ!$C$4</f>
        <v>OTE</v>
      </c>
      <c r="C26" s="155">
        <f>IF(R26="",IF(ΓΕΝΙΚΑ!$B$21="ΝΑΙ",14680,""),"")</f>
        <v>14680</v>
      </c>
      <c r="D26" s="156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168</v>
      </c>
      <c r="H26" s="110">
        <f t="shared" si="1"/>
        <v>168</v>
      </c>
      <c r="I26" s="58"/>
      <c r="J26" s="75" t="str">
        <f t="shared" si="2"/>
        <v/>
      </c>
      <c r="K26" s="31">
        <f t="shared" si="3"/>
        <v>168</v>
      </c>
      <c r="L26" s="61">
        <v>87</v>
      </c>
      <c r="M26" s="203">
        <f t="shared" si="4"/>
        <v>87</v>
      </c>
      <c r="N26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6" s="170" t="str">
        <f t="shared" si="6"/>
        <v>Μισή εργάσιμη ημέρα</v>
      </c>
      <c r="P26" s="171">
        <f t="shared" si="6"/>
        <v>0</v>
      </c>
      <c r="R26" s="40" t="str">
        <f t="shared" si="5"/>
        <v/>
      </c>
      <c r="S26" s="150" t="str">
        <f>IF(AND(K26="",ΠΕΡΙΦΕΡΕΙΑ!B10&lt;&gt;"Καθόλου"),T12,"")</f>
        <v/>
      </c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</row>
    <row r="27" spans="1:37" ht="180" x14ac:dyDescent="0.25">
      <c r="A27" s="27" t="str">
        <f t="shared" si="0"/>
        <v>F06</v>
      </c>
      <c r="B27" s="175" t="str">
        <f>ΓΕΝΙΚΑ!$C$4</f>
        <v>OTE</v>
      </c>
      <c r="C27" s="32">
        <f>IF(R27="",IF(ΓΕΝΙΚΑ!$B$21="ΝΑΙ",14682,""),"")</f>
        <v>14682</v>
      </c>
      <c r="D27" s="157" t="str">
        <f>IF(ΓΕΝΙΚΑ!$B$21="ΝΑΙ","Π. ΚΡΗΤΗΣ","")</f>
        <v>Π. ΚΡΗΤΗΣ</v>
      </c>
      <c r="E27" s="8" t="s">
        <v>410</v>
      </c>
      <c r="F27" s="8">
        <v>95</v>
      </c>
      <c r="G27" s="58">
        <v>164</v>
      </c>
      <c r="H27" s="110">
        <f t="shared" si="1"/>
        <v>164</v>
      </c>
      <c r="I27" s="58"/>
      <c r="J27" s="75" t="str">
        <f t="shared" si="2"/>
        <v/>
      </c>
      <c r="K27" s="31">
        <f t="shared" si="3"/>
        <v>164</v>
      </c>
      <c r="L27" s="61">
        <v>53</v>
      </c>
      <c r="M27" s="203">
        <f t="shared" si="4"/>
        <v>53</v>
      </c>
      <c r="N27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7" s="170" t="str">
        <f t="shared" si="6"/>
        <v>Μισή εργάσιμη ημέρα</v>
      </c>
      <c r="P27" s="171">
        <f t="shared" si="6"/>
        <v>0</v>
      </c>
      <c r="R27" s="40" t="str">
        <f t="shared" si="5"/>
        <v/>
      </c>
      <c r="S27" s="150" t="str">
        <f>IF(AND(K27="",ΠΕΡΙΦΕΡΕΙΑ!B11&lt;&gt;"Καθόλου"),T13,"")</f>
        <v/>
      </c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</row>
    <row r="28" spans="1:37" ht="180" x14ac:dyDescent="0.25">
      <c r="A28" s="27" t="str">
        <f t="shared" si="0"/>
        <v>F06</v>
      </c>
      <c r="B28" s="175" t="str">
        <f>ΓΕΝΙΚΑ!$C$4</f>
        <v>OTE</v>
      </c>
      <c r="C28" s="155">
        <f>IF(R28="",IF(ΓΕΝΙΚΑ!$B$21="ΝΑΙ",14684,""),"")</f>
        <v>14684</v>
      </c>
      <c r="D28" s="156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601</v>
      </c>
      <c r="H28" s="110">
        <f t="shared" si="1"/>
        <v>601</v>
      </c>
      <c r="I28" s="58"/>
      <c r="J28" s="75" t="str">
        <f t="shared" si="2"/>
        <v/>
      </c>
      <c r="K28" s="31">
        <f t="shared" si="3"/>
        <v>601</v>
      </c>
      <c r="L28" s="61">
        <v>146</v>
      </c>
      <c r="M28" s="203">
        <f t="shared" si="4"/>
        <v>146</v>
      </c>
      <c r="N28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8" s="170" t="str">
        <f t="shared" si="6"/>
        <v>Μισή εργάσιμη ημέρα</v>
      </c>
      <c r="P28" s="171">
        <f t="shared" si="6"/>
        <v>0</v>
      </c>
      <c r="R28" s="40" t="str">
        <f t="shared" si="5"/>
        <v/>
      </c>
      <c r="S28" s="150" t="str">
        <f>IF(AND(K28="",ΠΕΡΙΦΕΡΕΙΑ!B12&lt;&gt;"Καθόλου"),T14,"")</f>
        <v/>
      </c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</row>
    <row r="29" spans="1:37" ht="180" x14ac:dyDescent="0.25">
      <c r="A29" s="27" t="str">
        <f t="shared" si="0"/>
        <v>F06</v>
      </c>
      <c r="B29" s="175" t="str">
        <f>ΓΕΝΙΚΑ!$C$4</f>
        <v>OTE</v>
      </c>
      <c r="C29" s="32">
        <f>IF(R29="",IF(ΓΕΝΙΚΑ!$B$21="ΝΑΙ",14686,""),"")</f>
        <v>14686</v>
      </c>
      <c r="D29" s="157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438</v>
      </c>
      <c r="H29" s="110">
        <f t="shared" si="1"/>
        <v>438</v>
      </c>
      <c r="I29" s="58"/>
      <c r="J29" s="75" t="str">
        <f t="shared" si="2"/>
        <v/>
      </c>
      <c r="K29" s="31">
        <f t="shared" si="3"/>
        <v>438</v>
      </c>
      <c r="L29" s="61">
        <v>115</v>
      </c>
      <c r="M29" s="203">
        <f t="shared" si="4"/>
        <v>115</v>
      </c>
      <c r="N29" s="170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29" s="170" t="str">
        <f t="shared" si="6"/>
        <v>Μισή εργάσιμη ημέρα</v>
      </c>
      <c r="P29" s="171">
        <f t="shared" si="6"/>
        <v>0</v>
      </c>
      <c r="R29" s="40" t="str">
        <f t="shared" si="5"/>
        <v/>
      </c>
      <c r="S29" s="150" t="str">
        <f>IF(AND(K29="",ΠΕΡΙΦΕΡΕΙΑ!B13&lt;&gt;"Καθόλου"),T15,"")</f>
        <v/>
      </c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180.75" thickBot="1" x14ac:dyDescent="0.3">
      <c r="A30" s="28" t="str">
        <f t="shared" si="0"/>
        <v>F06</v>
      </c>
      <c r="B30" s="175" t="str">
        <f>ΓΕΝΙΚΑ!$C$4</f>
        <v>OTE</v>
      </c>
      <c r="C30" s="158">
        <f>IF(R30="",IF(ΓΕΝΙΚΑ!$B$21="ΝΑΙ",14688,""),"")</f>
        <v>14688</v>
      </c>
      <c r="D30" s="159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215</v>
      </c>
      <c r="H30" s="110">
        <f t="shared" si="1"/>
        <v>215</v>
      </c>
      <c r="I30" s="59"/>
      <c r="J30" s="75" t="str">
        <f t="shared" si="2"/>
        <v/>
      </c>
      <c r="K30" s="31">
        <f t="shared" si="3"/>
        <v>215</v>
      </c>
      <c r="L30" s="62">
        <v>77</v>
      </c>
      <c r="M30" s="203">
        <f t="shared" si="4"/>
        <v>77</v>
      </c>
      <c r="N30" s="172" t="str">
        <f t="shared" si="6"/>
        <v>Μέσω Καταστημάτων :
Δευτέρα - Σάββατο : Ώρες λειτουργίας καταστημάτων 
Μέσω τηλεφώνου: 13888
Δευτέρα-Κυριακή &amp; αργίες 00:00-24:00
Δωρεάν για όλη την Ελλάδα από δίκτυο ΟΤΕ
Η κλήση από κινητό ή σταθερό άλλου δικτύου ορίζεται σύμφωνα με τον ισχύοντα τιμοκατάλογο του εκάστοτε παρόχου</v>
      </c>
      <c r="O30" s="172" t="str">
        <f t="shared" si="6"/>
        <v>Μισή εργάσιμη ημέρα</v>
      </c>
      <c r="P30" s="173">
        <f t="shared" si="6"/>
        <v>0</v>
      </c>
      <c r="R30" s="40" t="str">
        <f t="shared" si="5"/>
        <v/>
      </c>
      <c r="S30" s="151" t="str">
        <f>IF(AND(K30="",ΠΕΡΙΦΕΡΕΙΑ!B14&lt;&gt;"Καθόλου"),T16,"")</f>
        <v/>
      </c>
      <c r="T30" s="184"/>
      <c r="U30" s="184"/>
      <c r="V30" s="184">
        <v>2</v>
      </c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2018-10-03T07:34:02Z</dcterms:modified>
</cp:coreProperties>
</file>