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2_19\F-S2-2019\"/>
    </mc:Choice>
  </mc:AlternateContent>
  <workbookProtection workbookAlgorithmName="SHA-512" workbookHashValue="9wtn7E2ieS8S2zOeJper7EzX3rj3Tx0zOBH957alk7UCgmNX9kTDrjrMbUbr/ldI+IwdvZpj3/d6GE58vmqx0w==" workbookSaltValue="Q7x4rO4lOgk5R9Zd920m4A==" workbookSpinCount="100000" lockStructure="1"/>
  <bookViews>
    <workbookView xWindow="0" yWindow="60" windowWidth="19440" windowHeight="11925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O15" i="16"/>
  <c r="N15" i="16" s="1"/>
  <c r="C15" i="16" s="1"/>
  <c r="O14" i="16"/>
  <c r="N14" i="16" s="1"/>
  <c r="C14" i="16" s="1"/>
  <c r="O13" i="16"/>
  <c r="N13" i="16" s="1"/>
  <c r="C13" i="16" s="1"/>
  <c r="O12" i="16"/>
  <c r="O11" i="16"/>
  <c r="N11" i="16" s="1"/>
  <c r="C11" i="16" s="1"/>
  <c r="O10" i="16"/>
  <c r="N10" i="16" s="1"/>
  <c r="C10" i="16" s="1"/>
  <c r="O9" i="16"/>
  <c r="N9" i="16" s="1"/>
  <c r="C9" i="16" s="1"/>
  <c r="O8" i="16"/>
  <c r="O7" i="16"/>
  <c r="N7" i="16" s="1"/>
  <c r="C7" i="16" s="1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S26" i="12" s="1"/>
  <c r="R26" i="12" s="1"/>
  <c r="C26" i="12" s="1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8" i="16"/>
  <c r="C8" i="16" s="1"/>
  <c r="N12" i="16"/>
  <c r="C12" i="16" s="1"/>
  <c r="N16" i="16"/>
  <c r="C16" i="16" s="1"/>
  <c r="N4" i="16"/>
  <c r="C4" i="16" s="1"/>
  <c r="J3" i="15"/>
  <c r="C3" i="15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B3" i="9"/>
  <c r="B4" i="9"/>
  <c r="B5" i="9"/>
  <c r="B6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S16" i="17" l="1"/>
  <c r="R16" i="17" s="1"/>
  <c r="C16" i="17" s="1"/>
  <c r="S16" i="12"/>
  <c r="R16" i="12" s="1"/>
  <c r="C16" i="12" s="1"/>
  <c r="S14" i="12"/>
  <c r="R14" i="12" s="1"/>
  <c r="C14" i="12" s="1"/>
  <c r="S12" i="12"/>
  <c r="R12" i="12" s="1"/>
  <c r="C12" i="12" s="1"/>
  <c r="S30" i="12"/>
  <c r="R30" i="12" s="1"/>
  <c r="C30" i="12" s="1"/>
  <c r="S15" i="12"/>
  <c r="R15" i="12" s="1"/>
  <c r="C15" i="12" s="1"/>
  <c r="S11" i="12"/>
  <c r="R11" i="12" s="1"/>
  <c r="C11" i="12" s="1"/>
  <c r="S10" i="12"/>
  <c r="R10" i="12" s="1"/>
  <c r="C10" i="12" s="1"/>
  <c r="S6" i="12"/>
  <c r="R6" i="12" s="1"/>
  <c r="C6" i="12" s="1"/>
  <c r="S7" i="12"/>
  <c r="R7" i="12" s="1"/>
  <c r="C7" i="12" s="1"/>
  <c r="S5" i="12"/>
  <c r="R5" i="12" s="1"/>
  <c r="C5" i="12" s="1"/>
  <c r="S8" i="12"/>
  <c r="R8" i="12" s="1"/>
  <c r="C8" i="12" s="1"/>
  <c r="S15" i="17"/>
  <c r="R15" i="17" s="1"/>
  <c r="C15" i="17" s="1"/>
  <c r="S13" i="12"/>
  <c r="R13" i="12" s="1"/>
  <c r="C13" i="12" s="1"/>
  <c r="S9" i="12"/>
  <c r="R9" i="12" s="1"/>
  <c r="C9" i="12" s="1"/>
  <c r="S4" i="12"/>
  <c r="R4" i="12" s="1"/>
  <c r="C4" i="12" s="1"/>
  <c r="S3" i="12"/>
  <c r="R3" i="12" s="1"/>
  <c r="C3" i="12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M8" i="14"/>
  <c r="L8" i="14" s="1"/>
  <c r="C16" i="6" s="1"/>
  <c r="P5" i="9"/>
  <c r="O5" i="9" s="1"/>
  <c r="J4" i="9"/>
  <c r="P4" i="9" s="1"/>
  <c r="O4" i="9" s="1"/>
  <c r="P6" i="9"/>
  <c r="O6" i="9" s="1"/>
  <c r="D15" i="3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N325" i="4" s="1"/>
  <c r="I135" i="4"/>
  <c r="L135" i="4" s="1"/>
  <c r="N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L169" i="4" s="1"/>
  <c r="I221" i="4"/>
  <c r="I21" i="4"/>
  <c r="I73" i="4"/>
  <c r="K73" i="4" s="1"/>
  <c r="I134" i="4"/>
  <c r="I198" i="4"/>
  <c r="I250" i="4"/>
  <c r="K250" i="4" s="1"/>
  <c r="I42" i="4"/>
  <c r="I111" i="4"/>
  <c r="I167" i="4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K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I110" i="4"/>
  <c r="I137" i="4"/>
  <c r="I186" i="4"/>
  <c r="L186" i="4" s="1"/>
  <c r="I281" i="4"/>
  <c r="I280" i="4"/>
  <c r="I128" i="4"/>
  <c r="I239" i="4"/>
  <c r="I22" i="4"/>
  <c r="I41" i="4"/>
  <c r="L41" i="4" s="1"/>
  <c r="I76" i="4"/>
  <c r="K76" i="4" s="1"/>
  <c r="I142" i="4"/>
  <c r="L142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K74" i="4"/>
  <c r="L74" i="4"/>
  <c r="L76" i="4"/>
  <c r="K230" i="4"/>
  <c r="K142" i="4"/>
  <c r="K167" i="4"/>
  <c r="L167" i="4"/>
  <c r="L73" i="4"/>
  <c r="K169" i="4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L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L253" i="4" l="1"/>
  <c r="L54" i="4"/>
  <c r="L166" i="4"/>
  <c r="C21" i="6"/>
  <c r="C18" i="6"/>
  <c r="K41" i="4"/>
  <c r="K277" i="4"/>
  <c r="J277" i="4" s="1"/>
  <c r="K186" i="4"/>
  <c r="J186" i="4" s="1"/>
  <c r="K274" i="4"/>
  <c r="J274" i="4" s="1"/>
  <c r="L250" i="4"/>
  <c r="K325" i="4"/>
  <c r="J325" i="4" s="1"/>
  <c r="L143" i="4"/>
  <c r="J143" i="4" s="1"/>
  <c r="C19" i="6"/>
  <c r="L8" i="4"/>
  <c r="J8" i="4" s="1"/>
  <c r="K4" i="4"/>
  <c r="J4" i="4" s="1"/>
  <c r="L187" i="4"/>
  <c r="N187" i="4" s="1"/>
  <c r="K2" i="4"/>
  <c r="J2" i="4" s="1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54" i="4"/>
  <c r="J54" i="4"/>
  <c r="N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8" i="4"/>
  <c r="N76" i="4"/>
  <c r="J76" i="4"/>
  <c r="N186" i="4" l="1"/>
  <c r="N208" i="4"/>
  <c r="N100" i="4"/>
  <c r="N277" i="4"/>
  <c r="N4" i="4"/>
  <c r="N143" i="4"/>
  <c r="N216" i="4"/>
  <c r="N20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J326" i="5" s="1"/>
  <c r="H10" i="5"/>
  <c r="J10" i="5" s="1"/>
  <c r="H11" i="5"/>
  <c r="J11" i="5" s="1"/>
  <c r="H27" i="5"/>
  <c r="J27" i="5" s="1"/>
  <c r="H43" i="5"/>
  <c r="J43" i="5" s="1"/>
  <c r="H59" i="5"/>
  <c r="J59" i="5" s="1"/>
  <c r="H75" i="5"/>
  <c r="J75" i="5" s="1"/>
  <c r="H91" i="5"/>
  <c r="J91" i="5" s="1"/>
  <c r="H107" i="5"/>
  <c r="J107" i="5" s="1"/>
  <c r="H123" i="5"/>
  <c r="J123" i="5" s="1"/>
  <c r="H139" i="5"/>
  <c r="J139" i="5" s="1"/>
  <c r="H155" i="5"/>
  <c r="J155" i="5" s="1"/>
  <c r="H171" i="5"/>
  <c r="J171" i="5" s="1"/>
  <c r="H187" i="5"/>
  <c r="J187" i="5" s="1"/>
  <c r="H203" i="5"/>
  <c r="J203" i="5" s="1"/>
  <c r="H219" i="5"/>
  <c r="J219" i="5" s="1"/>
  <c r="H235" i="5"/>
  <c r="J235" i="5" s="1"/>
  <c r="H251" i="5"/>
  <c r="J251" i="5" s="1"/>
  <c r="H267" i="5"/>
  <c r="J267" i="5" s="1"/>
  <c r="H283" i="5"/>
  <c r="J283" i="5" s="1"/>
  <c r="H299" i="5"/>
  <c r="J299" i="5" s="1"/>
  <c r="H315" i="5"/>
  <c r="J315" i="5" s="1"/>
  <c r="H12" i="5"/>
  <c r="J12" i="5" s="1"/>
  <c r="H28" i="5"/>
  <c r="J28" i="5" s="1"/>
  <c r="H44" i="5"/>
  <c r="J44" i="5" s="1"/>
  <c r="H60" i="5"/>
  <c r="J60" i="5" s="1"/>
  <c r="H76" i="5"/>
  <c r="J76" i="5" s="1"/>
  <c r="H92" i="5"/>
  <c r="J92" i="5" s="1"/>
  <c r="H108" i="5"/>
  <c r="J108" i="5" s="1"/>
  <c r="H124" i="5"/>
  <c r="J124" i="5" s="1"/>
  <c r="H140" i="5"/>
  <c r="J140" i="5" s="1"/>
  <c r="H156" i="5"/>
  <c r="J156" i="5" s="1"/>
  <c r="H172" i="5"/>
  <c r="J172" i="5" s="1"/>
  <c r="H188" i="5"/>
  <c r="J188" i="5" s="1"/>
  <c r="H204" i="5"/>
  <c r="J204" i="5" s="1"/>
  <c r="H220" i="5"/>
  <c r="J220" i="5" s="1"/>
  <c r="H236" i="5"/>
  <c r="J236" i="5" s="1"/>
  <c r="H252" i="5"/>
  <c r="J252" i="5" s="1"/>
  <c r="H268" i="5"/>
  <c r="J268" i="5" s="1"/>
  <c r="H284" i="5"/>
  <c r="J284" i="5" s="1"/>
  <c r="H300" i="5"/>
  <c r="J300" i="5" s="1"/>
  <c r="H316" i="5"/>
  <c r="J316" i="5" s="1"/>
  <c r="H13" i="5"/>
  <c r="J13" i="5" s="1"/>
  <c r="H29" i="5"/>
  <c r="J29" i="5" s="1"/>
  <c r="H45" i="5"/>
  <c r="J45" i="5" s="1"/>
  <c r="H61" i="5"/>
  <c r="J61" i="5" s="1"/>
  <c r="H77" i="5"/>
  <c r="J77" i="5" s="1"/>
  <c r="H93" i="5"/>
  <c r="J93" i="5" s="1"/>
  <c r="H109" i="5"/>
  <c r="J109" i="5" s="1"/>
  <c r="H125" i="5"/>
  <c r="J125" i="5" s="1"/>
  <c r="H141" i="5"/>
  <c r="J141" i="5" s="1"/>
  <c r="H157" i="5"/>
  <c r="J157" i="5" s="1"/>
  <c r="H173" i="5"/>
  <c r="J173" i="5" s="1"/>
  <c r="H189" i="5"/>
  <c r="J189" i="5" s="1"/>
  <c r="H205" i="5"/>
  <c r="J205" i="5" s="1"/>
  <c r="H221" i="5"/>
  <c r="J221" i="5" s="1"/>
  <c r="H237" i="5"/>
  <c r="J237" i="5" s="1"/>
  <c r="H253" i="5"/>
  <c r="J253" i="5" s="1"/>
  <c r="H269" i="5"/>
  <c r="J269" i="5" s="1"/>
  <c r="H285" i="5"/>
  <c r="J285" i="5" s="1"/>
  <c r="H301" i="5"/>
  <c r="J301" i="5" s="1"/>
  <c r="H317" i="5"/>
  <c r="J317" i="5" s="1"/>
  <c r="H2" i="5"/>
  <c r="J2" i="5" s="1"/>
  <c r="H26" i="5"/>
  <c r="J26" i="5" s="1"/>
  <c r="H42" i="5"/>
  <c r="J42" i="5" s="1"/>
  <c r="H58" i="5"/>
  <c r="J58" i="5" s="1"/>
  <c r="H74" i="5"/>
  <c r="J74" i="5" s="1"/>
  <c r="H90" i="5"/>
  <c r="J90" i="5" s="1"/>
  <c r="H106" i="5"/>
  <c r="J106" i="5" s="1"/>
  <c r="H122" i="5"/>
  <c r="J122" i="5" s="1"/>
  <c r="H138" i="5"/>
  <c r="J138" i="5" s="1"/>
  <c r="H154" i="5"/>
  <c r="J154" i="5" s="1"/>
  <c r="H170" i="5"/>
  <c r="J170" i="5" s="1"/>
  <c r="H186" i="5"/>
  <c r="J186" i="5" s="1"/>
  <c r="H202" i="5"/>
  <c r="J202" i="5" s="1"/>
  <c r="H218" i="5"/>
  <c r="J218" i="5" s="1"/>
  <c r="H234" i="5"/>
  <c r="J234" i="5" s="1"/>
  <c r="H250" i="5"/>
  <c r="J250" i="5" s="1"/>
  <c r="H266" i="5"/>
  <c r="J266" i="5" s="1"/>
  <c r="H282" i="5"/>
  <c r="J282" i="5" s="1"/>
  <c r="H298" i="5"/>
  <c r="J298" i="5" s="1"/>
  <c r="H314" i="5"/>
  <c r="J314" i="5" s="1"/>
  <c r="H18" i="5"/>
  <c r="J18" i="5" s="1"/>
  <c r="H15" i="5"/>
  <c r="J15" i="5" s="1"/>
  <c r="H31" i="5"/>
  <c r="J31" i="5" s="1"/>
  <c r="H47" i="5"/>
  <c r="J47" i="5" s="1"/>
  <c r="H63" i="5"/>
  <c r="J63" i="5" s="1"/>
  <c r="H79" i="5"/>
  <c r="J79" i="5" s="1"/>
  <c r="H95" i="5"/>
  <c r="J95" i="5" s="1"/>
  <c r="H111" i="5"/>
  <c r="J111" i="5" s="1"/>
  <c r="H127" i="5"/>
  <c r="J127" i="5" s="1"/>
  <c r="H143" i="5"/>
  <c r="J143" i="5" s="1"/>
  <c r="H159" i="5"/>
  <c r="J159" i="5" s="1"/>
  <c r="H175" i="5"/>
  <c r="J175" i="5" s="1"/>
  <c r="H191" i="5"/>
  <c r="J191" i="5" s="1"/>
  <c r="H207" i="5"/>
  <c r="J207" i="5" s="1"/>
  <c r="H223" i="5"/>
  <c r="J223" i="5" s="1"/>
  <c r="H239" i="5"/>
  <c r="J239" i="5" s="1"/>
  <c r="H255" i="5"/>
  <c r="J255" i="5" s="1"/>
  <c r="H271" i="5"/>
  <c r="J271" i="5" s="1"/>
  <c r="H287" i="5"/>
  <c r="J287" i="5" s="1"/>
  <c r="H303" i="5"/>
  <c r="J303" i="5" s="1"/>
  <c r="H319" i="5"/>
  <c r="J319" i="5" s="1"/>
  <c r="H16" i="5"/>
  <c r="J16" i="5" s="1"/>
  <c r="H32" i="5"/>
  <c r="J32" i="5" s="1"/>
  <c r="H48" i="5"/>
  <c r="J48" i="5" s="1"/>
  <c r="H64" i="5"/>
  <c r="J64" i="5" s="1"/>
  <c r="H80" i="5"/>
  <c r="J80" i="5" s="1"/>
  <c r="H96" i="5"/>
  <c r="J96" i="5" s="1"/>
  <c r="H112" i="5"/>
  <c r="J112" i="5" s="1"/>
  <c r="H128" i="5"/>
  <c r="J128" i="5" s="1"/>
  <c r="H144" i="5"/>
  <c r="J144" i="5" s="1"/>
  <c r="H160" i="5"/>
  <c r="J160" i="5" s="1"/>
  <c r="H176" i="5"/>
  <c r="J176" i="5" s="1"/>
  <c r="H192" i="5"/>
  <c r="J192" i="5" s="1"/>
  <c r="H208" i="5"/>
  <c r="J208" i="5" s="1"/>
  <c r="H224" i="5"/>
  <c r="J224" i="5" s="1"/>
  <c r="H240" i="5"/>
  <c r="J240" i="5" s="1"/>
  <c r="H256" i="5"/>
  <c r="J256" i="5" s="1"/>
  <c r="H272" i="5"/>
  <c r="J272" i="5" s="1"/>
  <c r="H288" i="5"/>
  <c r="J288" i="5" s="1"/>
  <c r="H304" i="5"/>
  <c r="J304" i="5" s="1"/>
  <c r="H320" i="5"/>
  <c r="J320" i="5" s="1"/>
  <c r="H17" i="5"/>
  <c r="J17" i="5" s="1"/>
  <c r="H33" i="5"/>
  <c r="J33" i="5" s="1"/>
  <c r="H49" i="5"/>
  <c r="J49" i="5" s="1"/>
  <c r="H65" i="5"/>
  <c r="J65" i="5" s="1"/>
  <c r="H81" i="5"/>
  <c r="J81" i="5" s="1"/>
  <c r="H97" i="5"/>
  <c r="J97" i="5" s="1"/>
  <c r="H113" i="5"/>
  <c r="J113" i="5" s="1"/>
  <c r="H129" i="5"/>
  <c r="J129" i="5" s="1"/>
  <c r="H145" i="5"/>
  <c r="J145" i="5" s="1"/>
  <c r="H161" i="5"/>
  <c r="J161" i="5" s="1"/>
  <c r="H177" i="5"/>
  <c r="J177" i="5" s="1"/>
  <c r="H193" i="5"/>
  <c r="J193" i="5" s="1"/>
  <c r="H209" i="5"/>
  <c r="J209" i="5" s="1"/>
  <c r="H225" i="5"/>
  <c r="J225" i="5" s="1"/>
  <c r="H241" i="5"/>
  <c r="J241" i="5" s="1"/>
  <c r="H257" i="5"/>
  <c r="J257" i="5" s="1"/>
  <c r="H273" i="5"/>
  <c r="J273" i="5" s="1"/>
  <c r="H289" i="5"/>
  <c r="J289" i="5" s="1"/>
  <c r="H305" i="5"/>
  <c r="J305" i="5" s="1"/>
  <c r="H321" i="5"/>
  <c r="J321" i="5" s="1"/>
  <c r="H6" i="5"/>
  <c r="J6" i="5" s="1"/>
  <c r="H30" i="5"/>
  <c r="J30" i="5" s="1"/>
  <c r="H46" i="5"/>
  <c r="J46" i="5" s="1"/>
  <c r="H62" i="5"/>
  <c r="J62" i="5" s="1"/>
  <c r="H78" i="5"/>
  <c r="J78" i="5" s="1"/>
  <c r="H94" i="5"/>
  <c r="J94" i="5" s="1"/>
  <c r="H110" i="5"/>
  <c r="J110" i="5" s="1"/>
  <c r="H126" i="5"/>
  <c r="J126" i="5" s="1"/>
  <c r="H142" i="5"/>
  <c r="J142" i="5" s="1"/>
  <c r="H158" i="5"/>
  <c r="J158" i="5" s="1"/>
  <c r="H174" i="5"/>
  <c r="J174" i="5" s="1"/>
  <c r="H190" i="5"/>
  <c r="J190" i="5" s="1"/>
  <c r="H206" i="5"/>
  <c r="J206" i="5" s="1"/>
  <c r="H222" i="5"/>
  <c r="J222" i="5" s="1"/>
  <c r="H238" i="5"/>
  <c r="J238" i="5" s="1"/>
  <c r="H254" i="5"/>
  <c r="J254" i="5" s="1"/>
  <c r="H270" i="5"/>
  <c r="J270" i="5" s="1"/>
  <c r="H286" i="5"/>
  <c r="J286" i="5" s="1"/>
  <c r="H302" i="5"/>
  <c r="J302" i="5" s="1"/>
  <c r="H318" i="5"/>
  <c r="J318" i="5" s="1"/>
  <c r="H3" i="5"/>
  <c r="J3" i="5" s="1"/>
  <c r="H19" i="5"/>
  <c r="J19" i="5" s="1"/>
  <c r="H35" i="5"/>
  <c r="J35" i="5" s="1"/>
  <c r="H51" i="5"/>
  <c r="J51" i="5" s="1"/>
  <c r="H67" i="5"/>
  <c r="J67" i="5" s="1"/>
  <c r="H83" i="5"/>
  <c r="J83" i="5" s="1"/>
  <c r="H99" i="5"/>
  <c r="J99" i="5" s="1"/>
  <c r="H115" i="5"/>
  <c r="J115" i="5" s="1"/>
  <c r="H131" i="5"/>
  <c r="J131" i="5" s="1"/>
  <c r="H147" i="5"/>
  <c r="J147" i="5" s="1"/>
  <c r="H163" i="5"/>
  <c r="J163" i="5" s="1"/>
  <c r="H179" i="5"/>
  <c r="J179" i="5" s="1"/>
  <c r="H195" i="5"/>
  <c r="J195" i="5" s="1"/>
  <c r="H211" i="5"/>
  <c r="J211" i="5" s="1"/>
  <c r="H227" i="5"/>
  <c r="J227" i="5" s="1"/>
  <c r="H243" i="5"/>
  <c r="J243" i="5" s="1"/>
  <c r="H259" i="5"/>
  <c r="J259" i="5" s="1"/>
  <c r="H275" i="5"/>
  <c r="J275" i="5" s="1"/>
  <c r="H291" i="5"/>
  <c r="J291" i="5" s="1"/>
  <c r="H307" i="5"/>
  <c r="J307" i="5" s="1"/>
  <c r="H323" i="5"/>
  <c r="J323" i="5" s="1"/>
  <c r="H20" i="5"/>
  <c r="J20" i="5" s="1"/>
  <c r="H36" i="5"/>
  <c r="J36" i="5" s="1"/>
  <c r="H52" i="5"/>
  <c r="J52" i="5" s="1"/>
  <c r="H68" i="5"/>
  <c r="J68" i="5" s="1"/>
  <c r="H84" i="5"/>
  <c r="J84" i="5" s="1"/>
  <c r="H100" i="5"/>
  <c r="J100" i="5" s="1"/>
  <c r="H116" i="5"/>
  <c r="J116" i="5" s="1"/>
  <c r="H132" i="5"/>
  <c r="J132" i="5" s="1"/>
  <c r="H148" i="5"/>
  <c r="J148" i="5" s="1"/>
  <c r="H164" i="5"/>
  <c r="J164" i="5" s="1"/>
  <c r="H180" i="5"/>
  <c r="J180" i="5" s="1"/>
  <c r="H196" i="5"/>
  <c r="J196" i="5" s="1"/>
  <c r="H212" i="5"/>
  <c r="J212" i="5" s="1"/>
  <c r="H228" i="5"/>
  <c r="J228" i="5" s="1"/>
  <c r="H244" i="5"/>
  <c r="J244" i="5" s="1"/>
  <c r="H260" i="5"/>
  <c r="J260" i="5" s="1"/>
  <c r="H276" i="5"/>
  <c r="J276" i="5" s="1"/>
  <c r="H292" i="5"/>
  <c r="J292" i="5" s="1"/>
  <c r="H308" i="5"/>
  <c r="J308" i="5" s="1"/>
  <c r="H324" i="5"/>
  <c r="J324" i="5" s="1"/>
  <c r="H21" i="5"/>
  <c r="J21" i="5" s="1"/>
  <c r="H37" i="5"/>
  <c r="J37" i="5" s="1"/>
  <c r="H53" i="5"/>
  <c r="J53" i="5" s="1"/>
  <c r="H69" i="5"/>
  <c r="J69" i="5" s="1"/>
  <c r="H85" i="5"/>
  <c r="J85" i="5" s="1"/>
  <c r="H101" i="5"/>
  <c r="J101" i="5" s="1"/>
  <c r="H117" i="5"/>
  <c r="J117" i="5" s="1"/>
  <c r="H133" i="5"/>
  <c r="J133" i="5" s="1"/>
  <c r="H149" i="5"/>
  <c r="J149" i="5" s="1"/>
  <c r="H165" i="5"/>
  <c r="J165" i="5" s="1"/>
  <c r="H181" i="5"/>
  <c r="J181" i="5" s="1"/>
  <c r="H197" i="5"/>
  <c r="J197" i="5" s="1"/>
  <c r="H213" i="5"/>
  <c r="J213" i="5" s="1"/>
  <c r="H229" i="5"/>
  <c r="J229" i="5" s="1"/>
  <c r="H245" i="5"/>
  <c r="J245" i="5" s="1"/>
  <c r="H261" i="5"/>
  <c r="J261" i="5" s="1"/>
  <c r="H277" i="5"/>
  <c r="J277" i="5" s="1"/>
  <c r="H293" i="5"/>
  <c r="J293" i="5" s="1"/>
  <c r="H309" i="5"/>
  <c r="J309" i="5" s="1"/>
  <c r="H325" i="5"/>
  <c r="J325" i="5" s="1"/>
  <c r="H14" i="5"/>
  <c r="J14" i="5" s="1"/>
  <c r="H34" i="5"/>
  <c r="J34" i="5" s="1"/>
  <c r="H50" i="5"/>
  <c r="J50" i="5" s="1"/>
  <c r="H66" i="5"/>
  <c r="J66" i="5" s="1"/>
  <c r="H82" i="5"/>
  <c r="J82" i="5" s="1"/>
  <c r="H98" i="5"/>
  <c r="J98" i="5" s="1"/>
  <c r="H114" i="5"/>
  <c r="J114" i="5" s="1"/>
  <c r="H130" i="5"/>
  <c r="J130" i="5" s="1"/>
  <c r="H146" i="5"/>
  <c r="J146" i="5" s="1"/>
  <c r="H162" i="5"/>
  <c r="J162" i="5" s="1"/>
  <c r="H178" i="5"/>
  <c r="J178" i="5" s="1"/>
  <c r="H194" i="5"/>
  <c r="J194" i="5" s="1"/>
  <c r="H210" i="5"/>
  <c r="J210" i="5" s="1"/>
  <c r="H226" i="5"/>
  <c r="J226" i="5" s="1"/>
  <c r="H242" i="5"/>
  <c r="J242" i="5" s="1"/>
  <c r="H258" i="5"/>
  <c r="J258" i="5" s="1"/>
  <c r="H274" i="5"/>
  <c r="J274" i="5" s="1"/>
  <c r="H290" i="5"/>
  <c r="J290" i="5" s="1"/>
  <c r="H306" i="5"/>
  <c r="J306" i="5" s="1"/>
  <c r="H322" i="5"/>
  <c r="J322" i="5" s="1"/>
  <c r="H9" i="5"/>
  <c r="J9" i="5" s="1"/>
  <c r="H7" i="5"/>
  <c r="J7" i="5" s="1"/>
  <c r="H23" i="5"/>
  <c r="J23" i="5" s="1"/>
  <c r="H39" i="5"/>
  <c r="J39" i="5" s="1"/>
  <c r="H55" i="5"/>
  <c r="J55" i="5" s="1"/>
  <c r="H71" i="5"/>
  <c r="J71" i="5" s="1"/>
  <c r="H87" i="5"/>
  <c r="J87" i="5" s="1"/>
  <c r="H103" i="5"/>
  <c r="J103" i="5" s="1"/>
  <c r="H119" i="5"/>
  <c r="J119" i="5" s="1"/>
  <c r="H135" i="5"/>
  <c r="J135" i="5" s="1"/>
  <c r="H151" i="5"/>
  <c r="J151" i="5" s="1"/>
  <c r="H167" i="5"/>
  <c r="J167" i="5" s="1"/>
  <c r="H183" i="5"/>
  <c r="J183" i="5" s="1"/>
  <c r="H199" i="5"/>
  <c r="J199" i="5" s="1"/>
  <c r="H215" i="5"/>
  <c r="J215" i="5" s="1"/>
  <c r="H231" i="5"/>
  <c r="J231" i="5" s="1"/>
  <c r="H247" i="5"/>
  <c r="J247" i="5" s="1"/>
  <c r="H263" i="5"/>
  <c r="J263" i="5" s="1"/>
  <c r="H279" i="5"/>
  <c r="J279" i="5" s="1"/>
  <c r="H295" i="5"/>
  <c r="J295" i="5" s="1"/>
  <c r="H311" i="5"/>
  <c r="J311" i="5" s="1"/>
  <c r="H8" i="5"/>
  <c r="J8" i="5" s="1"/>
  <c r="H24" i="5"/>
  <c r="J24" i="5" s="1"/>
  <c r="H40" i="5"/>
  <c r="J40" i="5" s="1"/>
  <c r="H56" i="5"/>
  <c r="J56" i="5" s="1"/>
  <c r="H72" i="5"/>
  <c r="J72" i="5" s="1"/>
  <c r="H88" i="5"/>
  <c r="J88" i="5" s="1"/>
  <c r="H104" i="5"/>
  <c r="J104" i="5" s="1"/>
  <c r="H120" i="5"/>
  <c r="J120" i="5" s="1"/>
  <c r="H136" i="5"/>
  <c r="J136" i="5" s="1"/>
  <c r="H152" i="5"/>
  <c r="J152" i="5" s="1"/>
  <c r="H168" i="5"/>
  <c r="J168" i="5" s="1"/>
  <c r="H184" i="5"/>
  <c r="J184" i="5" s="1"/>
  <c r="H200" i="5"/>
  <c r="J200" i="5" s="1"/>
  <c r="H216" i="5"/>
  <c r="J216" i="5" s="1"/>
  <c r="H232" i="5"/>
  <c r="J232" i="5" s="1"/>
  <c r="H248" i="5"/>
  <c r="J248" i="5" s="1"/>
  <c r="H264" i="5"/>
  <c r="J264" i="5" s="1"/>
  <c r="H280" i="5"/>
  <c r="J280" i="5" s="1"/>
  <c r="H296" i="5"/>
  <c r="J296" i="5" s="1"/>
  <c r="H312" i="5"/>
  <c r="J312" i="5" s="1"/>
  <c r="H5" i="5"/>
  <c r="J5" i="5" s="1"/>
  <c r="H25" i="5"/>
  <c r="J25" i="5" s="1"/>
  <c r="H41" i="5"/>
  <c r="J41" i="5" s="1"/>
  <c r="H57" i="5"/>
  <c r="J57" i="5" s="1"/>
  <c r="H73" i="5"/>
  <c r="J73" i="5" s="1"/>
  <c r="H89" i="5"/>
  <c r="J89" i="5" s="1"/>
  <c r="H105" i="5"/>
  <c r="J105" i="5" s="1"/>
  <c r="H121" i="5"/>
  <c r="J121" i="5" s="1"/>
  <c r="H137" i="5"/>
  <c r="J137" i="5" s="1"/>
  <c r="H153" i="5"/>
  <c r="J153" i="5" s="1"/>
  <c r="H169" i="5"/>
  <c r="J169" i="5" s="1"/>
  <c r="H185" i="5"/>
  <c r="J185" i="5" s="1"/>
  <c r="H201" i="5"/>
  <c r="J201" i="5" s="1"/>
  <c r="H217" i="5"/>
  <c r="J217" i="5" s="1"/>
  <c r="H233" i="5"/>
  <c r="J233" i="5" s="1"/>
  <c r="H249" i="5"/>
  <c r="J249" i="5" s="1"/>
  <c r="H265" i="5"/>
  <c r="J265" i="5" s="1"/>
  <c r="H281" i="5"/>
  <c r="J281" i="5" s="1"/>
  <c r="H297" i="5"/>
  <c r="J297" i="5" s="1"/>
  <c r="H313" i="5"/>
  <c r="J313" i="5" s="1"/>
  <c r="H4" i="5"/>
  <c r="J4" i="5" s="1"/>
  <c r="H22" i="5"/>
  <c r="J22" i="5" s="1"/>
  <c r="H38" i="5"/>
  <c r="J38" i="5" s="1"/>
  <c r="H54" i="5"/>
  <c r="J54" i="5" s="1"/>
  <c r="H70" i="5"/>
  <c r="J70" i="5" s="1"/>
  <c r="H86" i="5"/>
  <c r="J86" i="5" s="1"/>
  <c r="H102" i="5"/>
  <c r="J102" i="5" s="1"/>
  <c r="H118" i="5"/>
  <c r="J118" i="5" s="1"/>
  <c r="H134" i="5"/>
  <c r="J134" i="5" s="1"/>
  <c r="H150" i="5"/>
  <c r="J150" i="5" s="1"/>
  <c r="H166" i="5"/>
  <c r="J166" i="5" s="1"/>
  <c r="H182" i="5"/>
  <c r="J182" i="5" s="1"/>
  <c r="H198" i="5"/>
  <c r="J198" i="5" s="1"/>
  <c r="H214" i="5"/>
  <c r="J214" i="5" s="1"/>
  <c r="H230" i="5"/>
  <c r="J230" i="5" s="1"/>
  <c r="H246" i="5"/>
  <c r="J246" i="5" s="1"/>
  <c r="H262" i="5"/>
  <c r="J262" i="5" s="1"/>
  <c r="H278" i="5"/>
  <c r="J278" i="5" s="1"/>
  <c r="H294" i="5"/>
  <c r="J294" i="5" s="1"/>
  <c r="H310" i="5"/>
  <c r="J310" i="5" s="1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4" i="9"/>
  <c r="D3" i="9"/>
  <c r="E3" i="9"/>
  <c r="D4" i="9"/>
  <c r="E6" i="9"/>
  <c r="D6" i="9"/>
  <c r="E5" i="9"/>
  <c r="D5" i="9"/>
</calcChain>
</file>

<file path=xl/sharedStrings.xml><?xml version="1.0" encoding="utf-8"?>
<sst xmlns="http://schemas.openxmlformats.org/spreadsheetml/2006/main" count="3485" uniqueCount="886">
  <si>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</si>
  <si>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</si>
  <si>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</si>
  <si>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</si>
  <si>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</si>
  <si>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</si>
  <si>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</si>
  <si>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</si>
  <si>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</si>
  <si>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</si>
  <si>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</si>
  <si>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</si>
  <si>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</si>
  <si>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</si>
  <si>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</si>
  <si>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</si>
  <si>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</si>
  <si>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</si>
  <si>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</si>
  <si>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</si>
  <si>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</si>
  <si>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</si>
  <si>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</si>
  <si>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</si>
  <si>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</si>
  <si>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</si>
  <si>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</si>
  <si>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</si>
  <si>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</si>
  <si>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</si>
  <si>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</si>
  <si>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</si>
  <si>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</si>
  <si>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</si>
  <si>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</si>
  <si>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</si>
  <si>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</si>
  <si>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</si>
  <si>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</si>
  <si>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</si>
  <si>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</si>
  <si>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</si>
  <si>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</si>
  <si>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</si>
  <si>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</si>
  <si>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</si>
  <si>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</si>
  <si>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</si>
  <si>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</si>
  <si>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</si>
  <si>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</si>
  <si>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</si>
  <si>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</si>
  <si>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</si>
  <si>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</si>
  <si>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</si>
  <si>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</si>
  <si>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</si>
  <si>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</si>
  <si>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</si>
  <si>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</si>
  <si>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</si>
  <si>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</si>
  <si>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</si>
  <si>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</si>
  <si>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</si>
  <si>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</si>
  <si>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</si>
  <si>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</si>
  <si>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</si>
  <si>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</si>
  <si>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</si>
  <si>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</si>
  <si>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</si>
  <si>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</si>
  <si>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</si>
  <si>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</si>
  <si>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</si>
  <si>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</si>
  <si>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</si>
  <si>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</si>
  <si>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</si>
  <si>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</si>
  <si>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</si>
  <si>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</si>
  <si>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</si>
  <si>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</si>
  <si>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</si>
  <si>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</si>
  <si>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</si>
  <si>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</si>
  <si>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</si>
  <si>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</si>
  <si>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</si>
  <si>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</si>
  <si>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</si>
  <si>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</si>
  <si>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</si>
  <si>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</si>
  <si>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</si>
  <si>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</si>
  <si>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</si>
  <si>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</si>
  <si>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</si>
  <si>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</si>
  <si>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</si>
  <si>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</si>
  <si>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</si>
  <si>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</si>
  <si>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</si>
  <si>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</si>
  <si>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</si>
  <si>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</si>
  <si>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</si>
  <si>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</si>
  <si>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</si>
  <si>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</si>
  <si>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</si>
  <si>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</si>
  <si>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</si>
  <si>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</si>
  <si>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</si>
  <si>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</si>
  <si>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</si>
  <si>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</si>
  <si>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</si>
  <si>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</si>
  <si>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</si>
  <si>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</si>
  <si>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</si>
  <si>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</si>
  <si>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</si>
  <si>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</si>
  <si>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</si>
  <si>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</si>
  <si>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</si>
  <si>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</si>
  <si>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</si>
  <si>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</si>
  <si>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</si>
  <si>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</si>
  <si>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</si>
  <si>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</si>
  <si>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</si>
  <si>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</si>
  <si>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</si>
  <si>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</si>
  <si>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</si>
  <si>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</si>
  <si>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</si>
  <si>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</si>
  <si>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</si>
  <si>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</si>
  <si>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</si>
  <si>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</si>
  <si>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</si>
  <si>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</si>
  <si>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</si>
  <si>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</si>
  <si>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</si>
  <si>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</si>
  <si>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</si>
  <si>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</si>
  <si>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</si>
  <si>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</si>
  <si>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</si>
  <si>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</si>
  <si>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</si>
  <si>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</si>
  <si>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</si>
  <si>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</si>
  <si>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</si>
  <si>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</si>
  <si>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</si>
  <si>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</si>
  <si>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</si>
  <si>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</si>
  <si>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</si>
  <si>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</si>
  <si>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</si>
  <si>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</si>
  <si>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</si>
  <si>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</si>
  <si>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</si>
  <si>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</si>
  <si>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</si>
  <si>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</si>
  <si>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</si>
  <si>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</si>
  <si>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</si>
  <si>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</si>
  <si>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</si>
  <si>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</si>
  <si>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</si>
  <si>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</si>
  <si>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</si>
  <si>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</si>
  <si>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</si>
  <si>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</si>
  <si>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</si>
  <si>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</si>
  <si>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</si>
  <si>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</si>
  <si>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</si>
  <si>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</si>
  <si>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</si>
  <si>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</si>
  <si>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</si>
  <si>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</si>
  <si>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</si>
  <si>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</si>
  <si>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</si>
  <si>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</si>
  <si>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</si>
  <si>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</si>
  <si>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</si>
  <si>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</si>
  <si>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</si>
  <si>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</si>
  <si>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</si>
  <si>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</si>
  <si>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</si>
  <si>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</si>
  <si>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</si>
  <si>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</si>
  <si>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</si>
  <si>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</si>
  <si>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</si>
  <si>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</si>
  <si>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</si>
  <si>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</si>
  <si>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</si>
  <si>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</si>
  <si>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</si>
  <si>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</si>
  <si>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</si>
  <si>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</si>
  <si>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</si>
  <si>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</si>
  <si>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</si>
  <si>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</si>
  <si>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</si>
  <si>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</si>
  <si>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</si>
  <si>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</si>
  <si>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</si>
  <si>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</si>
  <si>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</si>
  <si>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</si>
  <si>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</si>
  <si>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</si>
  <si>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</si>
  <si>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</si>
  <si>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</si>
  <si>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</si>
  <si>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</si>
  <si>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</si>
  <si>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</si>
  <si>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</si>
  <si>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</si>
  <si>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</si>
  <si>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</si>
  <si>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</si>
  <si>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</si>
  <si>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</si>
  <si>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</si>
  <si>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</si>
  <si>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</si>
  <si>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</si>
  <si>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</si>
  <si>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</si>
  <si>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</si>
  <si>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</si>
  <si>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</si>
  <si>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</si>
  <si>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</si>
  <si>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</si>
  <si>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</si>
  <si>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</si>
  <si>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</si>
  <si>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</si>
  <si>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</si>
  <si>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</si>
  <si>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</si>
  <si>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</si>
  <si>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</si>
  <si>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</si>
  <si>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</si>
  <si>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</si>
  <si>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</si>
  <si>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</si>
  <si>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</si>
  <si>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</si>
  <si>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</si>
  <si>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</si>
  <si>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</si>
  <si>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</si>
  <si>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</si>
  <si>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</si>
  <si>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</si>
  <si>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</si>
  <si>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</si>
  <si>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</si>
  <si>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</si>
  <si>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</si>
  <si>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</si>
  <si>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</si>
  <si>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</si>
  <si>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</si>
  <si>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</si>
  <si>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</si>
  <si>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</si>
  <si>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</si>
  <si>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</si>
  <si>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</si>
  <si>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</si>
  <si>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</si>
  <si>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</si>
  <si>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</si>
  <si>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</si>
  <si>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</si>
  <si>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</si>
  <si>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</si>
  <si>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</si>
  <si>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</si>
  <si>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</si>
  <si>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</si>
  <si>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</si>
  <si>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</si>
  <si>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</si>
  <si>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</si>
  <si>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</si>
  <si>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</si>
  <si>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</si>
  <si>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</si>
  <si>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</si>
  <si>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</si>
  <si>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</si>
  <si>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</si>
  <si>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</si>
  <si>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</si>
  <si>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</si>
  <si>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</si>
  <si>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</si>
  <si>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</si>
  <si>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</si>
  <si>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</si>
  <si>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</si>
  <si>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</si>
  <si>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</si>
  <si>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</si>
  <si>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</si>
  <si>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</si>
  <si>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</si>
  <si>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</si>
  <si>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</si>
  <si>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</si>
  <si>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</si>
  <si>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</si>
  <si>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</si>
  <si>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</si>
  <si>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</si>
  <si>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</si>
  <si>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</si>
  <si>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</si>
  <si>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</si>
  <si>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</si>
  <si>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</si>
  <si>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</si>
  <si>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</si>
  <si>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</si>
  <si>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</si>
  <si>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</si>
  <si>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</si>
  <si>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</si>
  <si>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</si>
  <si>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</si>
  <si>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</si>
  <si>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</si>
  <si>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</si>
  <si>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</si>
  <si>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</si>
  <si>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</si>
  <si>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</si>
  <si>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</si>
  <si>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</si>
  <si>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</si>
  <si>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</si>
  <si>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</si>
  <si>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</si>
  <si>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</si>
  <si>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</si>
  <si>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</si>
  <si>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</si>
  <si>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</si>
  <si>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</si>
  <si>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</si>
  <si>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</si>
  <si>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</si>
  <si>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</si>
  <si>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</si>
  <si>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</si>
  <si>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</si>
  <si>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</si>
  <si>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</si>
  <si>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</si>
  <si>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</si>
  <si>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</si>
  <si>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</si>
  <si>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</si>
  <si>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</si>
  <si>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</si>
  <si>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</si>
  <si>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</si>
  <si>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</si>
  <si>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</si>
  <si>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</si>
  <si>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</si>
  <si>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</si>
  <si>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</si>
  <si>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</si>
  <si>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</si>
  <si>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</si>
  <si>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</si>
  <si>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</si>
  <si>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</si>
  <si>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</si>
  <si>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</si>
  <si>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</si>
  <si>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</si>
  <si>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</si>
  <si>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</si>
  <si>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</si>
  <si>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</si>
  <si>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</si>
  <si>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</si>
  <si>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</si>
  <si>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</si>
  <si>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</si>
  <si>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</si>
  <si>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</si>
  <si>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</si>
  <si>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</si>
  <si>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</si>
  <si>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</si>
  <si>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</si>
  <si>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</si>
  <si>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</si>
  <si>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</si>
  <si>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</si>
  <si>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</si>
  <si>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</si>
  <si>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</si>
  <si>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</si>
  <si>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</si>
  <si>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</si>
  <si>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</si>
  <si>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</si>
  <si>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</si>
  <si>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</si>
  <si>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</si>
  <si>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</si>
  <si>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</si>
  <si>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</si>
  <si>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</si>
  <si>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</si>
  <si>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</si>
  <si>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</si>
  <si>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</si>
  <si>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</si>
  <si>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</si>
  <si>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</si>
  <si>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</si>
  <si>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</si>
  <si>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</si>
  <si>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</si>
  <si>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</si>
  <si>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</si>
  <si>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</si>
  <si>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</si>
  <si>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</si>
  <si>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</si>
  <si>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</si>
  <si>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</si>
  <si>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</si>
  <si>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</si>
  <si>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</si>
  <si>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</si>
  <si>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</si>
  <si>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</si>
  <si>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</si>
  <si>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</si>
  <si>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</si>
  <si>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</si>
  <si>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</si>
  <si>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</si>
  <si>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</si>
  <si>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</si>
  <si>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</si>
  <si>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</si>
  <si>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</si>
  <si>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</si>
  <si>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</si>
  <si>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</si>
  <si>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</si>
  <si>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</si>
  <si>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</si>
  <si>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</si>
  <si>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</si>
  <si>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</si>
  <si>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</si>
  <si>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</si>
  <si>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</si>
  <si>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</si>
  <si>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</si>
  <si>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</si>
  <si>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</si>
  <si>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</si>
  <si>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</si>
  <si>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</si>
  <si>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</si>
  <si>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</si>
  <si>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</si>
  <si>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</si>
  <si>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</si>
  <si>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</si>
  <si>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</si>
  <si>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</si>
  <si>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</si>
  <si>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</si>
  <si>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</si>
  <si>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</si>
  <si>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</si>
  <si>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</si>
  <si>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</si>
  <si>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</si>
  <si>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</si>
  <si>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</si>
  <si>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</si>
  <si>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</si>
  <si>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</si>
  <si>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</si>
  <si>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</si>
  <si>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</si>
  <si>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</si>
  <si>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</si>
  <si>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</si>
  <si>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</si>
  <si>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</si>
  <si>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</si>
  <si>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</si>
  <si>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</si>
  <si>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</si>
  <si>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</si>
  <si>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</si>
  <si>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</si>
  <si>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</si>
  <si>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</si>
  <si>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</si>
  <si>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</si>
  <si>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</si>
  <si>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</si>
  <si>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</si>
  <si>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</si>
  <si>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</si>
  <si>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</si>
  <si>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</si>
  <si>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</si>
  <si>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</si>
  <si>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</si>
  <si>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</si>
  <si>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</si>
  <si>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</si>
  <si>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</si>
  <si>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</si>
  <si>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</si>
  <si>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</si>
  <si>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</si>
  <si>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</si>
  <si>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</si>
  <si>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</si>
  <si>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</si>
  <si>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</si>
  <si>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</si>
  <si>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</si>
  <si>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</si>
  <si>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</si>
  <si>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</si>
  <si>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</si>
  <si>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</si>
  <si>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</si>
  <si>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</si>
  <si>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</si>
  <si>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</si>
  <si>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</si>
  <si>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</si>
  <si>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</si>
  <si>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</si>
  <si>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</si>
  <si>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</si>
  <si>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</si>
  <si>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</si>
  <si>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</si>
  <si>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</si>
  <si>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</si>
  <si>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</si>
  <si>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</si>
  <si>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</si>
  <si>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</si>
  <si>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</si>
  <si>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</si>
  <si>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</si>
  <si>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</si>
  <si>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</si>
  <si>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</si>
  <si>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</si>
  <si>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</si>
  <si>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</si>
  <si>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</si>
  <si>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</si>
  <si>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</si>
  <si>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</si>
  <si>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</si>
  <si>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</si>
  <si>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</si>
  <si>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</si>
  <si>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</si>
  <si>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</si>
  <si>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</si>
  <si>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</si>
  <si>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</si>
  <si>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</si>
  <si>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</si>
  <si>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</si>
  <si>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</si>
  <si>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</si>
  <si>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</si>
  <si>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</si>
  <si>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</si>
  <si>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</si>
  <si>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</si>
  <si>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</si>
  <si>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</si>
  <si>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</si>
  <si>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</si>
  <si>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</si>
  <si>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</si>
  <si>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</si>
  <si>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</si>
  <si>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</si>
  <si>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</si>
  <si>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</si>
  <si>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</si>
  <si>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</si>
  <si>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</si>
  <si>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</si>
  <si>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</si>
  <si>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</si>
  <si>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</si>
  <si>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</si>
  <si>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</si>
  <si>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</si>
  <si>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</si>
  <si>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</si>
  <si>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</si>
  <si>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</si>
  <si>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</si>
  <si>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</si>
  <si>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</si>
  <si>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</si>
  <si>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</si>
  <si>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</si>
  <si>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</si>
  <si>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</si>
  <si>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</si>
  <si>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</si>
  <si>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</si>
  <si>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</si>
  <si>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</si>
  <si>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</si>
  <si>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</si>
  <si>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</si>
  <si>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</si>
  <si>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</si>
  <si>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</si>
  <si>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</si>
  <si>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</si>
  <si>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</si>
  <si>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</si>
  <si>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</si>
  <si>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</si>
  <si>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</si>
  <si>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</si>
  <si>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</si>
  <si>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</si>
  <si>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</si>
  <si>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</si>
  <si>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</si>
  <si>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</si>
  <si>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</si>
  <si>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</si>
  <si>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</si>
  <si>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</si>
  <si>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</si>
  <si>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</si>
  <si>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</si>
  <si>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</si>
  <si>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</si>
  <si>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</si>
  <si>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</si>
  <si>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</si>
  <si>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</si>
  <si>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</si>
  <si>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</si>
  <si>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</si>
  <si>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</si>
  <si>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</si>
  <si>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</si>
  <si>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</si>
  <si>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</si>
  <si>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</si>
  <si>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</si>
  <si>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</si>
  <si>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</si>
  <si>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</si>
  <si>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</si>
  <si>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</si>
  <si>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</si>
  <si>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</si>
  <si>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</si>
  <si>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</si>
  <si>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</si>
  <si>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</si>
  <si>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</si>
  <si>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</si>
  <si>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</si>
  <si>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</si>
  <si>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</si>
  <si>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</si>
  <si>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</si>
  <si>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</si>
  <si>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</si>
  <si>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</si>
  <si>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</si>
  <si>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</si>
  <si>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</si>
  <si>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</si>
  <si>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</si>
  <si>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</si>
  <si>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</si>
  <si>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</si>
  <si>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</si>
  <si>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</si>
  <si>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</si>
  <si>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</si>
  <si>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</si>
  <si>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</si>
  <si>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</si>
  <si>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</si>
  <si>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</si>
  <si>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</si>
  <si>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</si>
  <si>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</si>
  <si>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</si>
  <si>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</si>
  <si>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</si>
  <si>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</si>
  <si>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</si>
  <si>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</si>
  <si>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</si>
  <si>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</si>
  <si>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</si>
  <si>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</si>
  <si>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</si>
  <si>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</si>
  <si>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</si>
  <si>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</si>
  <si>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</si>
  <si>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</si>
  <si>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</si>
  <si>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</si>
  <si>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</si>
  <si>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</si>
  <si>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</si>
  <si>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</si>
  <si>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</si>
  <si>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</si>
  <si>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</si>
  <si>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</si>
  <si>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</si>
  <si>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</si>
  <si>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</si>
  <si>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</si>
  <si>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</si>
  <si>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</si>
  <si>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</si>
  <si>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</si>
  <si>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</si>
  <si>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</si>
  <si>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</si>
  <si>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</si>
  <si>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</si>
  <si>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</si>
  <si>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</si>
  <si>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</si>
  <si>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</si>
  <si>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</si>
  <si>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</si>
  <si>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</si>
  <si>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</si>
  <si>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</si>
  <si>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</si>
  <si>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</si>
  <si>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</si>
  <si>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</si>
  <si>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</si>
  <si>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</si>
  <si>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</si>
  <si>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</si>
  <si>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</si>
  <si>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</si>
  <si>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</si>
  <si>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</si>
  <si>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</si>
  <si>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</si>
  <si>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</si>
  <si>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</si>
  <si>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</si>
  <si>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</si>
  <si>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</si>
  <si>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</si>
  <si>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</si>
  <si>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</si>
  <si>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</si>
  <si>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</si>
  <si>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</si>
  <si>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</si>
  <si>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</si>
  <si>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</si>
  <si>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</si>
  <si>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</si>
  <si>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</si>
  <si>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</si>
  <si>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</si>
  <si>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</si>
  <si>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</si>
  <si>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</si>
  <si>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</si>
  <si>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</si>
  <si>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</si>
  <si>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</si>
  <si>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</si>
  <si>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</si>
  <si>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</si>
  <si>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</si>
  <si>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</si>
  <si>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</si>
  <si>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</si>
  <si>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</si>
  <si>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</si>
  <si>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</si>
  <si>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</si>
  <si>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</si>
  <si>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</si>
  <si>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</si>
  <si>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</si>
  <si>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</si>
  <si>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</si>
  <si>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</si>
  <si>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</si>
  <si>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</si>
  <si>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</si>
  <si>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</si>
  <si>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</si>
  <si>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</si>
  <si>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</si>
  <si>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</si>
  <si>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</si>
  <si>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Οποτεδήποτε μέσα σε 8 ώρες</t>
  </si>
  <si>
    <t>ΑΤΤΙΚΗΣ - ΑΘΗΝΑΙΩΝ</t>
  </si>
  <si>
    <t>ΚΕΝΤΡΙΚΗΣ ΜΑΚΕΔΟΝΙΑΣ - ΘΕΣΣΑΛΟΝΙΚΗΣ</t>
  </si>
  <si>
    <t>ΠΕΛΟΠΟΝΝΗΣΟΥ - ΤΡΙΠΟΛΗΣ</t>
  </si>
  <si>
    <t>ΘΕΣΣΑΛΙΑΣ - ΛΑΡΙΣΑΙΩΝ</t>
  </si>
  <si>
    <t>ΔΥΤΙΚΗΣ ΕΛΛΑΔΑΣ - ΠΑΤΡΕΩΝ</t>
  </si>
  <si>
    <t xml:space="preserve">Μέσω Καταστημάτων: Ωράριο καταστημάτων 
Μέσω Τηλεφώνου 13831:  Δευτέρα - Παρασκευή 08:00 - 22:00 , Σάββατο - Κυριακή 09:00 - 21:00    </t>
  </si>
  <si>
    <t>"Δευτέρα - Κυριακή: 24 ώρες &amp; αργίες Μέσω τηλεφώνου 13831  ή 13731 (ατελώς)"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</si>
</sst>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2" fontId="0" fillId="0" borderId="26" xfId="0" quotePrefix="1" applyNumberFormat="1" applyFill="1" applyBorder="1" applyAlignment="1" applyProtection="1">
      <alignment horizontal="left" vertical="top" wrapText="1"/>
      <protection locked="0"/>
    </xf>
    <xf numFmtId="1" fontId="12" fillId="0" borderId="53" xfId="0" applyNumberFormat="1" applyFont="1" applyBorder="1" applyProtection="1">
      <protection locked="0"/>
    </xf>
    <xf numFmtId="0" fontId="12" fillId="0" borderId="15" xfId="0" applyFont="1" applyBorder="1" applyProtection="1">
      <protection locked="0"/>
    </xf>
    <xf numFmtId="1" fontId="12" fillId="0" borderId="54" xfId="0" applyNumberFormat="1" applyFont="1" applyBorder="1" applyProtection="1">
      <protection locked="0"/>
    </xf>
    <xf numFmtId="1" fontId="0" fillId="0" borderId="43" xfId="0" applyNumberFormat="1" applyFill="1" applyBorder="1" applyAlignment="1" applyProtection="1">
      <alignment horizontal="left" vertical="top" wrapText="1"/>
    </xf>
    <xf numFmtId="1" fontId="0" fillId="0" borderId="55" xfId="0" applyNumberFormat="1" applyFill="1" applyBorder="1" applyAlignment="1" applyProtection="1">
      <alignment horizontal="left" vertical="top" wrapText="1"/>
    </xf>
    <xf numFmtId="0" fontId="12" fillId="0" borderId="1" xfId="0" applyFont="1" applyBorder="1" applyProtection="1">
      <protection locked="0"/>
    </xf>
    <xf numFmtId="0" fontId="12" fillId="0" borderId="5" xfId="0" applyFont="1" applyBorder="1" applyProtection="1">
      <protection locked="0"/>
    </xf>
    <xf numFmtId="1" fontId="0" fillId="0" borderId="56" xfId="0" applyNumberFormat="1" applyFill="1" applyBorder="1" applyAlignment="1" applyProtection="1">
      <alignment horizontal="left" vertical="top" wrapText="1"/>
    </xf>
    <xf numFmtId="1" fontId="12" fillId="0" borderId="40" xfId="0" applyNumberFormat="1" applyFont="1" applyBorder="1" applyProtection="1"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workbookViewId="0">
      <selection activeCell="C11" sqref="C11"/>
    </sheetView>
  </sheetViews>
  <sheetFormatPr defaultColWidth="0" defaultRowHeight="15" zeroHeight="1" x14ac:dyDescent="0.25"/>
  <cols>
    <col min="1" max="1" width="41" style="132" customWidth="1"/>
    <col min="2" max="2" width="17.85546875" style="132" customWidth="1"/>
    <col min="3" max="3" width="58.7109375" style="132" customWidth="1"/>
    <col min="4" max="4" width="84.140625" style="132" hidden="1" customWidth="1"/>
    <col min="5" max="16384" width="9.140625" style="132" hidden="1"/>
  </cols>
  <sheetData>
    <row r="1" spans="1:3" x14ac:dyDescent="0.25">
      <c r="A1" s="180"/>
      <c r="B1" s="180"/>
      <c r="C1" s="10" t="s">
        <v>27</v>
      </c>
    </row>
    <row r="2" spans="1:3" ht="22.5" customHeight="1" x14ac:dyDescent="0.25">
      <c r="A2" s="10" t="s">
        <v>27</v>
      </c>
      <c r="B2" s="10"/>
      <c r="C2" s="63" t="s">
        <v>29</v>
      </c>
    </row>
    <row r="3" spans="1:3" ht="22.5" customHeight="1" x14ac:dyDescent="0.25">
      <c r="A3" s="10" t="s">
        <v>526</v>
      </c>
      <c r="B3" s="10"/>
      <c r="C3" s="63"/>
    </row>
    <row r="4" spans="1:3" ht="22.5" hidden="1" customHeight="1" x14ac:dyDescent="0.25">
      <c r="A4" s="10" t="s">
        <v>27</v>
      </c>
      <c r="B4" s="10"/>
      <c r="C4" s="121" t="str">
        <f>IF(C2="",TEXT(C3,),C2)</f>
        <v>FORTHNET</v>
      </c>
    </row>
    <row r="5" spans="1:3" ht="22.5" customHeight="1" x14ac:dyDescent="0.25">
      <c r="A5" s="10" t="s">
        <v>0</v>
      </c>
      <c r="B5" s="10"/>
      <c r="C5" s="63" t="s">
        <v>2</v>
      </c>
    </row>
    <row r="6" spans="1:3" ht="22.5" customHeight="1" x14ac:dyDescent="0.25">
      <c r="A6" s="10" t="s">
        <v>1</v>
      </c>
      <c r="B6" s="10"/>
      <c r="C6" s="64">
        <v>2019</v>
      </c>
    </row>
    <row r="7" spans="1:3" ht="22.5" customHeight="1" x14ac:dyDescent="0.25">
      <c r="A7" s="10" t="s">
        <v>446</v>
      </c>
      <c r="B7" s="10"/>
      <c r="C7" s="65">
        <v>43647</v>
      </c>
    </row>
    <row r="8" spans="1:3" ht="22.5" customHeight="1" x14ac:dyDescent="0.25">
      <c r="A8" s="10" t="s">
        <v>447</v>
      </c>
      <c r="B8" s="10"/>
      <c r="C8" s="65">
        <v>43830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/>
      </c>
    </row>
    <row r="10" spans="1:3" ht="141" customHeight="1" x14ac:dyDescent="0.25">
      <c r="A10" s="10" t="s">
        <v>445</v>
      </c>
      <c r="B10" s="10"/>
      <c r="C10" s="122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</v>
      </c>
    </row>
    <row r="11" spans="1:3" ht="67.5" customHeight="1" x14ac:dyDescent="0.25">
      <c r="A11" s="10" t="s">
        <v>420</v>
      </c>
      <c r="B11" s="10"/>
      <c r="C11" s="66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7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7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7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7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7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7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70" zoomScaleNormal="70" workbookViewId="0">
      <selection activeCell="L30" sqref="L30"/>
    </sheetView>
  </sheetViews>
  <sheetFormatPr defaultColWidth="0" defaultRowHeight="15" zeroHeight="1" x14ac:dyDescent="0.25"/>
  <cols>
    <col min="1" max="1" width="50" style="132" customWidth="1"/>
    <col min="2" max="4" width="23" style="132" hidden="1" customWidth="1"/>
    <col min="5" max="5" width="38.140625" style="132" customWidth="1"/>
    <col min="6" max="6" width="27.28515625" style="132" customWidth="1"/>
    <col min="7" max="7" width="26.140625" style="132" customWidth="1"/>
    <col min="8" max="8" width="28.28515625" style="132" hidden="1" customWidth="1"/>
    <col min="9" max="9" width="36.28515625" style="132" customWidth="1"/>
    <col min="10" max="10" width="28.28515625" style="132" hidden="1" customWidth="1"/>
    <col min="11" max="12" width="28.28515625" style="132" customWidth="1"/>
    <col min="13" max="13" width="28.28515625" style="132" hidden="1" customWidth="1"/>
    <col min="14" max="14" width="31.5703125" style="132" customWidth="1"/>
    <col min="15" max="15" width="26.28515625" style="132" customWidth="1"/>
    <col min="16" max="16" width="31.28515625" style="132" customWidth="1"/>
    <col min="17" max="17" width="7.140625" style="132" customWidth="1"/>
    <col min="18" max="18" width="16.140625" style="132" customWidth="1"/>
    <col min="19" max="19" width="64.28515625" style="132" customWidth="1"/>
    <col min="20" max="24" width="9.140625" style="147" hidden="1" customWidth="1"/>
    <col min="25" max="16384" width="9.140625" style="132" hidden="1"/>
  </cols>
  <sheetData>
    <row r="1" spans="1:37" ht="15.75" hidden="1" thickBot="1" x14ac:dyDescent="0.3">
      <c r="A1" t="s">
        <v>478</v>
      </c>
      <c r="B1" t="s">
        <v>479</v>
      </c>
      <c r="C1" s="152" t="s">
        <v>538</v>
      </c>
      <c r="D1" s="152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5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5" t="s">
        <v>454</v>
      </c>
      <c r="P2" s="76" t="s">
        <v>420</v>
      </c>
      <c r="R2" s="41" t="s">
        <v>448</v>
      </c>
      <c r="S2" s="89" t="s">
        <v>525</v>
      </c>
      <c r="T2" s="183"/>
      <c r="U2" s="183"/>
      <c r="V2" s="183" t="s">
        <v>867</v>
      </c>
      <c r="W2" s="183" t="s">
        <v>868</v>
      </c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</row>
    <row r="3" spans="1:37" ht="75" customHeight="1" thickTop="1" x14ac:dyDescent="0.25">
      <c r="A3" s="25" t="s">
        <v>476</v>
      </c>
      <c r="B3" s="174" t="str">
        <f>ΓΕΝΙΚΑ!$C$4</f>
        <v>FORTHNET</v>
      </c>
      <c r="C3" s="34">
        <f>IF(R3="",IF(ΓΕΝΙΚΑ!$B$21="ΝΑΙ",15300,""),"")</f>
        <v>15300</v>
      </c>
      <c r="D3" s="153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31.239041871728649</v>
      </c>
      <c r="H3" s="109">
        <f>IF(ISNUMBER(G3),ROUND(G3,2),"")</f>
        <v>31.24</v>
      </c>
      <c r="I3" s="55">
        <v>33.881065932349159</v>
      </c>
      <c r="J3" s="74">
        <f>IF(ISNUMBER(I3),ROUND(I3,2),"")</f>
        <v>33.880000000000003</v>
      </c>
      <c r="K3" s="31">
        <f>IF(AND(ISNUMBER(G3),ISNUMBER(I3)),ROUND(G3+I3,0),IF(ISNUMBER(G3),ROUND(G3,0),IF(ISNUMBER(I3),ROUND(I3,0),"")))</f>
        <v>65</v>
      </c>
      <c r="L3" s="60">
        <v>1.4696619777451185E-3</v>
      </c>
      <c r="M3" s="202">
        <f>IF(ISNUMBER(L3),ROUND(L3,0),"")</f>
        <v>0</v>
      </c>
      <c r="N3" s="167" t="s">
        <v>885</v>
      </c>
      <c r="O3" s="176" t="s">
        <v>878</v>
      </c>
      <c r="P3" s="203"/>
      <c r="R3" s="40" t="str">
        <f>IF(S3="","","ΣΦΑΛΜΑ")</f>
        <v/>
      </c>
      <c r="S3" s="136" t="str">
        <f>CONCATENATE(IF(K3="",T3,""),IF(NOT(ISNUMBER(G3)),"",IF(G3&gt;G17,V3,"")),IF(NOT(ISNUMBER(I3)),"",IF(I3&gt;I17,W3,"")),IF(K3&gt;K17,U3,""),IF(L3="","",IF(ISNUMBER(L3),IF(L3&gt;L17,X3,""),Y3)))</f>
        <v/>
      </c>
      <c r="T3" s="183" t="s">
        <v>536</v>
      </c>
      <c r="U3" s="183" t="s">
        <v>866</v>
      </c>
      <c r="V3" s="183"/>
      <c r="W3" s="183"/>
      <c r="X3" s="183" t="s">
        <v>869</v>
      </c>
      <c r="Y3" s="183" t="s">
        <v>537</v>
      </c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</row>
    <row r="4" spans="1:37" ht="45" x14ac:dyDescent="0.25">
      <c r="A4" s="27" t="str">
        <f t="shared" ref="A4:A30" si="0">A$3</f>
        <v>F06</v>
      </c>
      <c r="B4" s="174" t="str">
        <f>ΓΕΝΙΚΑ!$C$4</f>
        <v>FORTHNET</v>
      </c>
      <c r="C4" s="154">
        <f>IF(R4="",IF(ΓΕΝΙΚΑ!$B$21="ΝΑΙ",14664,""),"")</f>
        <v>14664</v>
      </c>
      <c r="D4" s="155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27.077327127659572</v>
      </c>
      <c r="H4" s="109">
        <f t="shared" ref="H4:H30" si="1">IF(ISNUMBER(G4),ROUND(G4,2),"")</f>
        <v>27.08</v>
      </c>
      <c r="I4" s="58">
        <v>37.74714095744681</v>
      </c>
      <c r="J4" s="74">
        <f t="shared" ref="J4:J30" si="2">IF(ISNUMBER(I4),ROUND(I4,2),"")</f>
        <v>37.75</v>
      </c>
      <c r="K4" s="31">
        <f t="shared" ref="K4:K30" si="3">IF(AND(ISNUMBER(G4),ISNUMBER(I4)),ROUND(G4+I4,0),IF(ISNUMBER(G4),ROUND(G4,0),IF(ISNUMBER(I4),ROUND(I4,0),"")))</f>
        <v>65</v>
      </c>
      <c r="L4" s="60">
        <v>0</v>
      </c>
      <c r="M4" s="202">
        <f t="shared" ref="M4:M30" si="4">IF(ISNUMBER(L4),ROUND(L4,0),"")</f>
        <v>0</v>
      </c>
      <c r="N4" s="169" t="str">
        <f>N$3</f>
        <v>"Δευτέρα - Κυριακή: 24 ώρες &amp; αργίες Μέσω τηλεφώνου 13831  ή 13731 (ατελώς)"</v>
      </c>
      <c r="O4" s="169" t="str">
        <f>O$3</f>
        <v>Οποτεδήποτε μέσα σε 8 ώρες</v>
      </c>
      <c r="P4" s="170">
        <f>P$3</f>
        <v>0</v>
      </c>
      <c r="R4" s="40" t="str">
        <f t="shared" ref="R4:R30" si="5">IF(S4="","","ΣΦΑΛΜΑ")</f>
        <v/>
      </c>
      <c r="S4" s="148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3" t="s">
        <v>536</v>
      </c>
      <c r="U4" s="183" t="s">
        <v>866</v>
      </c>
      <c r="V4" s="183"/>
      <c r="W4" s="183"/>
      <c r="X4" s="183" t="s">
        <v>869</v>
      </c>
      <c r="Y4" s="183" t="s">
        <v>537</v>
      </c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</row>
    <row r="5" spans="1:37" ht="45" x14ac:dyDescent="0.25">
      <c r="A5" s="27" t="str">
        <f t="shared" si="0"/>
        <v>F06</v>
      </c>
      <c r="B5" s="174" t="str">
        <f>ΓΕΝΙΚΑ!$C$4</f>
        <v>FORTHNET</v>
      </c>
      <c r="C5" s="32">
        <f>IF(R5="",IF(ΓΕΝΙΚΑ!$B$21="ΝΑΙ",14666,""),"")</f>
        <v>14666</v>
      </c>
      <c r="D5" s="156" t="str">
        <f>IF(ΓΕΝΙΚΑ!$B$21="ΝΑΙ","Π. ΑΤΤΙΚΗΣ","")</f>
        <v>Π. ΑΤΤΙΚΗΣ</v>
      </c>
      <c r="E5" s="8" t="s">
        <v>39</v>
      </c>
      <c r="F5" s="8">
        <v>50</v>
      </c>
      <c r="G5" s="58">
        <v>30.94551574897816</v>
      </c>
      <c r="H5" s="109">
        <f t="shared" si="1"/>
        <v>30.95</v>
      </c>
      <c r="I5" s="58">
        <v>34.279778792979037</v>
      </c>
      <c r="J5" s="74">
        <f t="shared" si="2"/>
        <v>34.28</v>
      </c>
      <c r="K5" s="31">
        <f t="shared" si="3"/>
        <v>65</v>
      </c>
      <c r="L5" s="60">
        <v>0</v>
      </c>
      <c r="M5" s="202">
        <f t="shared" si="4"/>
        <v>0</v>
      </c>
      <c r="N5" s="169" t="str">
        <f t="shared" ref="N5:P30" si="6">N$3</f>
        <v>"Δευτέρα - Κυριακή: 24 ώρες &amp; αργίες Μέσω τηλεφώνου 13831  ή 13731 (ατελώς)"</v>
      </c>
      <c r="O5" s="169" t="str">
        <f t="shared" si="6"/>
        <v>Οποτεδήποτε μέσα σε 8 ώρες</v>
      </c>
      <c r="P5" s="170">
        <f t="shared" si="6"/>
        <v>0</v>
      </c>
      <c r="R5" s="40" t="str">
        <f t="shared" si="5"/>
        <v/>
      </c>
      <c r="S5" s="149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3" t="s">
        <v>536</v>
      </c>
      <c r="U5" s="183" t="s">
        <v>866</v>
      </c>
      <c r="V5" s="183"/>
      <c r="W5" s="183"/>
      <c r="X5" s="183" t="s">
        <v>869</v>
      </c>
      <c r="Y5" s="183" t="s">
        <v>537</v>
      </c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</row>
    <row r="6" spans="1:37" ht="45" x14ac:dyDescent="0.25">
      <c r="A6" s="27" t="str">
        <f t="shared" si="0"/>
        <v>F06</v>
      </c>
      <c r="B6" s="174" t="str">
        <f>ΓΕΝΙΚΑ!$C$4</f>
        <v>FORTHNET</v>
      </c>
      <c r="C6" s="154">
        <f>IF(R6="",IF(ΓΕΝΙΚΑ!$B$21="ΝΑΙ",14668,""),"")</f>
        <v>14668</v>
      </c>
      <c r="D6" s="155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47.859362139917678</v>
      </c>
      <c r="H6" s="109">
        <f t="shared" si="1"/>
        <v>47.86</v>
      </c>
      <c r="I6" s="58">
        <v>46.869032921810721</v>
      </c>
      <c r="J6" s="74">
        <f t="shared" si="2"/>
        <v>46.87</v>
      </c>
      <c r="K6" s="31">
        <f t="shared" si="3"/>
        <v>95</v>
      </c>
      <c r="L6" s="60">
        <v>0</v>
      </c>
      <c r="M6" s="202">
        <f t="shared" si="4"/>
        <v>0</v>
      </c>
      <c r="N6" s="169" t="str">
        <f t="shared" si="6"/>
        <v>"Δευτέρα - Κυριακή: 24 ώρες &amp; αργίες Μέσω τηλεφώνου 13831  ή 13731 (ατελώς)"</v>
      </c>
      <c r="O6" s="169" t="str">
        <f t="shared" si="6"/>
        <v>Οποτεδήποτε μέσα σε 8 ώρες</v>
      </c>
      <c r="P6" s="170">
        <f t="shared" si="6"/>
        <v>0</v>
      </c>
      <c r="R6" s="40" t="str">
        <f t="shared" si="5"/>
        <v/>
      </c>
      <c r="S6" s="149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3" t="s">
        <v>536</v>
      </c>
      <c r="U6" s="183" t="s">
        <v>866</v>
      </c>
      <c r="V6" s="183"/>
      <c r="W6" s="183"/>
      <c r="X6" s="183" t="s">
        <v>869</v>
      </c>
      <c r="Y6" s="183" t="s">
        <v>537</v>
      </c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</row>
    <row r="7" spans="1:37" ht="45" x14ac:dyDescent="0.25">
      <c r="A7" s="27" t="str">
        <f t="shared" si="0"/>
        <v>F06</v>
      </c>
      <c r="B7" s="174" t="str">
        <f>ΓΕΝΙΚΑ!$C$4</f>
        <v>FORTHNET</v>
      </c>
      <c r="C7" s="32">
        <f>IF(R7="",IF(ΓΕΝΙΚΑ!$B$21="ΝΑΙ",14670,""),"")</f>
        <v>14670</v>
      </c>
      <c r="D7" s="156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32.224110032362468</v>
      </c>
      <c r="H7" s="109">
        <f t="shared" si="1"/>
        <v>32.22</v>
      </c>
      <c r="I7" s="58">
        <v>38.96035598705501</v>
      </c>
      <c r="J7" s="74">
        <f t="shared" si="2"/>
        <v>38.96</v>
      </c>
      <c r="K7" s="31">
        <f t="shared" si="3"/>
        <v>71</v>
      </c>
      <c r="L7" s="60">
        <v>0</v>
      </c>
      <c r="M7" s="202">
        <f t="shared" si="4"/>
        <v>0</v>
      </c>
      <c r="N7" s="169" t="str">
        <f t="shared" si="6"/>
        <v>"Δευτέρα - Κυριακή: 24 ώρες &amp; αργίες Μέσω τηλεφώνου 13831  ή 13731 (ατελώς)"</v>
      </c>
      <c r="O7" s="169" t="str">
        <f t="shared" si="6"/>
        <v>Οποτεδήποτε μέσα σε 8 ώρες</v>
      </c>
      <c r="P7" s="170">
        <f t="shared" si="6"/>
        <v>0</v>
      </c>
      <c r="R7" s="40" t="str">
        <f t="shared" si="5"/>
        <v/>
      </c>
      <c r="S7" s="149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3" t="s">
        <v>536</v>
      </c>
      <c r="U7" s="183" t="s">
        <v>866</v>
      </c>
      <c r="V7" s="183"/>
      <c r="W7" s="183"/>
      <c r="X7" s="183" t="s">
        <v>869</v>
      </c>
      <c r="Y7" s="183" t="s">
        <v>537</v>
      </c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</row>
    <row r="8" spans="1:37" ht="45" x14ac:dyDescent="0.25">
      <c r="A8" s="27" t="str">
        <f t="shared" si="0"/>
        <v>F06</v>
      </c>
      <c r="B8" s="174" t="str">
        <f>ΓΕΝΙΚΑ!$C$4</f>
        <v>FORTHNET</v>
      </c>
      <c r="C8" s="154">
        <f>IF(R8="",IF(ΓΕΝΙΚΑ!$B$21="ΝΑΙ",14672,""),"")</f>
        <v>14672</v>
      </c>
      <c r="D8" s="155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31.157755775577552</v>
      </c>
      <c r="H8" s="109">
        <f t="shared" si="1"/>
        <v>31.16</v>
      </c>
      <c r="I8" s="58">
        <v>30.030363036303633</v>
      </c>
      <c r="J8" s="74">
        <f t="shared" si="2"/>
        <v>30.03</v>
      </c>
      <c r="K8" s="31">
        <f t="shared" si="3"/>
        <v>61</v>
      </c>
      <c r="L8" s="60">
        <v>0</v>
      </c>
      <c r="M8" s="202">
        <f t="shared" si="4"/>
        <v>0</v>
      </c>
      <c r="N8" s="169" t="str">
        <f t="shared" si="6"/>
        <v>"Δευτέρα - Κυριακή: 24 ώρες &amp; αργίες Μέσω τηλεφώνου 13831  ή 13731 (ατελώς)"</v>
      </c>
      <c r="O8" s="169" t="str">
        <f t="shared" si="6"/>
        <v>Οποτεδήποτε μέσα σε 8 ώρες</v>
      </c>
      <c r="P8" s="170">
        <f t="shared" si="6"/>
        <v>0</v>
      </c>
      <c r="R8" s="40" t="str">
        <f t="shared" si="5"/>
        <v/>
      </c>
      <c r="S8" s="149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3" t="s">
        <v>536</v>
      </c>
      <c r="U8" s="183" t="s">
        <v>866</v>
      </c>
      <c r="V8" s="183"/>
      <c r="W8" s="183"/>
      <c r="X8" s="183" t="s">
        <v>869</v>
      </c>
      <c r="Y8" s="183" t="s">
        <v>537</v>
      </c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</row>
    <row r="9" spans="1:37" ht="45" x14ac:dyDescent="0.25">
      <c r="A9" s="27" t="str">
        <f t="shared" si="0"/>
        <v>F06</v>
      </c>
      <c r="B9" s="174" t="str">
        <f>ΓΕΝΙΚΑ!$C$4</f>
        <v>FORTHNET</v>
      </c>
      <c r="C9" s="32">
        <f>IF(R9="",IF(ΓΕΝΙΚΑ!$B$21="ΝΑΙ",14674,""),"")</f>
        <v>14674</v>
      </c>
      <c r="D9" s="156" t="str">
        <f>IF(ΓΕΝΙΚΑ!$B$21="ΝΑΙ","Π. ΗΠΕΙΡΟΥ","")</f>
        <v>Π. ΗΠΕΙΡΟΥ</v>
      </c>
      <c r="E9" s="8" t="s">
        <v>406</v>
      </c>
      <c r="F9" s="8">
        <v>50</v>
      </c>
      <c r="G9" s="58">
        <v>35.530451127819553</v>
      </c>
      <c r="H9" s="109">
        <f t="shared" si="1"/>
        <v>35.53</v>
      </c>
      <c r="I9" s="58">
        <v>31.48458646616541</v>
      </c>
      <c r="J9" s="74">
        <f t="shared" si="2"/>
        <v>31.48</v>
      </c>
      <c r="K9" s="31">
        <f t="shared" si="3"/>
        <v>67</v>
      </c>
      <c r="L9" s="60">
        <v>0</v>
      </c>
      <c r="M9" s="202">
        <f t="shared" si="4"/>
        <v>0</v>
      </c>
      <c r="N9" s="169" t="str">
        <f t="shared" si="6"/>
        <v>"Δευτέρα - Κυριακή: 24 ώρες &amp; αργίες Μέσω τηλεφώνου 13831  ή 13731 (ατελώς)"</v>
      </c>
      <c r="O9" s="169" t="str">
        <f t="shared" si="6"/>
        <v>Οποτεδήποτε μέσα σε 8 ώρες</v>
      </c>
      <c r="P9" s="170">
        <f t="shared" si="6"/>
        <v>0</v>
      </c>
      <c r="R9" s="40" t="str">
        <f t="shared" si="5"/>
        <v/>
      </c>
      <c r="S9" s="149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3" t="s">
        <v>536</v>
      </c>
      <c r="U9" s="183" t="s">
        <v>866</v>
      </c>
      <c r="V9" s="183"/>
      <c r="W9" s="183"/>
      <c r="X9" s="183" t="s">
        <v>869</v>
      </c>
      <c r="Y9" s="183" t="s">
        <v>537</v>
      </c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</row>
    <row r="10" spans="1:37" ht="45" x14ac:dyDescent="0.25">
      <c r="A10" s="27" t="str">
        <f t="shared" si="0"/>
        <v>F06</v>
      </c>
      <c r="B10" s="174" t="str">
        <f>ΓΕΝΙΚΑ!$C$4</f>
        <v>FORTHNET</v>
      </c>
      <c r="C10" s="154">
        <f>IF(R10="",IF(ΓΕΝΙΚΑ!$B$21="ΝΑΙ",14676,""),"")</f>
        <v>14676</v>
      </c>
      <c r="D10" s="155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29.135837245696404</v>
      </c>
      <c r="H10" s="109">
        <f t="shared" si="1"/>
        <v>29.14</v>
      </c>
      <c r="I10" s="58">
        <v>37.385289514866976</v>
      </c>
      <c r="J10" s="74">
        <f t="shared" si="2"/>
        <v>37.39</v>
      </c>
      <c r="K10" s="31">
        <f t="shared" si="3"/>
        <v>67</v>
      </c>
      <c r="L10" s="60">
        <v>0</v>
      </c>
      <c r="M10" s="202">
        <f t="shared" si="4"/>
        <v>0</v>
      </c>
      <c r="N10" s="169" t="str">
        <f t="shared" si="6"/>
        <v>"Δευτέρα - Κυριακή: 24 ώρες &amp; αργίες Μέσω τηλεφώνου 13831  ή 13731 (ατελώς)"</v>
      </c>
      <c r="O10" s="169" t="str">
        <f t="shared" si="6"/>
        <v>Οποτεδήποτε μέσα σε 8 ώρες</v>
      </c>
      <c r="P10" s="170">
        <f t="shared" si="6"/>
        <v>0</v>
      </c>
      <c r="R10" s="40" t="str">
        <f t="shared" si="5"/>
        <v/>
      </c>
      <c r="S10" s="149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3" t="s">
        <v>536</v>
      </c>
      <c r="U10" s="183" t="s">
        <v>866</v>
      </c>
      <c r="V10" s="183"/>
      <c r="W10" s="183"/>
      <c r="X10" s="183" t="s">
        <v>869</v>
      </c>
      <c r="Y10" s="183" t="s">
        <v>537</v>
      </c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</row>
    <row r="11" spans="1:37" ht="45" x14ac:dyDescent="0.25">
      <c r="A11" s="27" t="str">
        <f t="shared" si="0"/>
        <v>F06</v>
      </c>
      <c r="B11" s="174" t="str">
        <f>ΓΕΝΙΚΑ!$C$4</f>
        <v>FORTHNET</v>
      </c>
      <c r="C11" s="32">
        <f>IF(R11="",IF(ΓΕΝΙΚΑ!$B$21="ΝΑΙ",14678,""),"")</f>
        <v>14678</v>
      </c>
      <c r="D11" s="156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44.800350877192976</v>
      </c>
      <c r="H11" s="109">
        <f t="shared" si="1"/>
        <v>44.8</v>
      </c>
      <c r="I11" s="58">
        <v>32.883859649122812</v>
      </c>
      <c r="J11" s="74">
        <f t="shared" si="2"/>
        <v>32.880000000000003</v>
      </c>
      <c r="K11" s="31">
        <f t="shared" si="3"/>
        <v>78</v>
      </c>
      <c r="L11" s="60">
        <v>0</v>
      </c>
      <c r="M11" s="202">
        <f t="shared" si="4"/>
        <v>0</v>
      </c>
      <c r="N11" s="169" t="str">
        <f t="shared" si="6"/>
        <v>"Δευτέρα - Κυριακή: 24 ώρες &amp; αργίες Μέσω τηλεφώνου 13831  ή 13731 (ατελώς)"</v>
      </c>
      <c r="O11" s="169" t="str">
        <f t="shared" si="6"/>
        <v>Οποτεδήποτε μέσα σε 8 ώρες</v>
      </c>
      <c r="P11" s="170">
        <f t="shared" si="6"/>
        <v>0</v>
      </c>
      <c r="R11" s="40" t="str">
        <f t="shared" si="5"/>
        <v/>
      </c>
      <c r="S11" s="149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3" t="s">
        <v>536</v>
      </c>
      <c r="U11" s="183" t="s">
        <v>866</v>
      </c>
      <c r="V11" s="183"/>
      <c r="W11" s="183"/>
      <c r="X11" s="183" t="s">
        <v>869</v>
      </c>
      <c r="Y11" s="183" t="s">
        <v>537</v>
      </c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</row>
    <row r="12" spans="1:37" ht="45" x14ac:dyDescent="0.25">
      <c r="A12" s="27" t="str">
        <f t="shared" si="0"/>
        <v>F06</v>
      </c>
      <c r="B12" s="174" t="str">
        <f>ΓΕΝΙΚΑ!$C$4</f>
        <v>FORTHNET</v>
      </c>
      <c r="C12" s="154">
        <f>IF(R12="",IF(ΓΕΝΙΚΑ!$B$21="ΝΑΙ",14680,""),"")</f>
        <v>14680</v>
      </c>
      <c r="D12" s="155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28.563373615307157</v>
      </c>
      <c r="H12" s="109">
        <f t="shared" si="1"/>
        <v>28.56</v>
      </c>
      <c r="I12" s="58">
        <v>28.086173212487406</v>
      </c>
      <c r="J12" s="74">
        <f t="shared" si="2"/>
        <v>28.09</v>
      </c>
      <c r="K12" s="31">
        <f t="shared" si="3"/>
        <v>57</v>
      </c>
      <c r="L12" s="60">
        <v>0</v>
      </c>
      <c r="M12" s="202">
        <f t="shared" si="4"/>
        <v>0</v>
      </c>
      <c r="N12" s="169" t="str">
        <f t="shared" si="6"/>
        <v>"Δευτέρα - Κυριακή: 24 ώρες &amp; αργίες Μέσω τηλεφώνου 13831  ή 13731 (ατελώς)"</v>
      </c>
      <c r="O12" s="169" t="str">
        <f t="shared" si="6"/>
        <v>Οποτεδήποτε μέσα σε 8 ώρες</v>
      </c>
      <c r="P12" s="170">
        <f t="shared" si="6"/>
        <v>0</v>
      </c>
      <c r="R12" s="40" t="str">
        <f t="shared" si="5"/>
        <v/>
      </c>
      <c r="S12" s="149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3" t="s">
        <v>536</v>
      </c>
      <c r="U12" s="183" t="s">
        <v>866</v>
      </c>
      <c r="V12" s="183"/>
      <c r="W12" s="183"/>
      <c r="X12" s="183" t="s">
        <v>869</v>
      </c>
      <c r="Y12" s="183" t="s">
        <v>537</v>
      </c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</row>
    <row r="13" spans="1:37" ht="45" x14ac:dyDescent="0.25">
      <c r="A13" s="27" t="str">
        <f t="shared" si="0"/>
        <v>F06</v>
      </c>
      <c r="B13" s="174" t="str">
        <f>ΓΕΝΙΚΑ!$C$4</f>
        <v>FORTHNET</v>
      </c>
      <c r="C13" s="32">
        <f>IF(R13="",IF(ΓΕΝΙΚΑ!$B$21="ΝΑΙ",14682,""),"")</f>
        <v>14682</v>
      </c>
      <c r="D13" s="156" t="str">
        <f>IF(ΓΕΝΙΚΑ!$B$21="ΝΑΙ","Π. ΚΡΗΤΗΣ","")</f>
        <v>Π. ΚΡΗΤΗΣ</v>
      </c>
      <c r="E13" s="8" t="s">
        <v>410</v>
      </c>
      <c r="F13" s="8">
        <v>50</v>
      </c>
      <c r="G13" s="58">
        <v>34.06676190476189</v>
      </c>
      <c r="H13" s="109">
        <f t="shared" si="1"/>
        <v>34.07</v>
      </c>
      <c r="I13" s="58">
        <v>41.518952380952399</v>
      </c>
      <c r="J13" s="74">
        <f t="shared" si="2"/>
        <v>41.52</v>
      </c>
      <c r="K13" s="31">
        <f t="shared" si="3"/>
        <v>76</v>
      </c>
      <c r="L13" s="60">
        <v>0.29166666666666669</v>
      </c>
      <c r="M13" s="202">
        <f t="shared" si="4"/>
        <v>0</v>
      </c>
      <c r="N13" s="169" t="str">
        <f t="shared" si="6"/>
        <v>"Δευτέρα - Κυριακή: 24 ώρες &amp; αργίες Μέσω τηλεφώνου 13831  ή 13731 (ατελώς)"</v>
      </c>
      <c r="O13" s="169" t="str">
        <f t="shared" si="6"/>
        <v>Οποτεδήποτε μέσα σε 8 ώρες</v>
      </c>
      <c r="P13" s="170">
        <f t="shared" si="6"/>
        <v>0</v>
      </c>
      <c r="R13" s="40" t="str">
        <f t="shared" si="5"/>
        <v/>
      </c>
      <c r="S13" s="149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3" t="s">
        <v>536</v>
      </c>
      <c r="U13" s="183" t="s">
        <v>866</v>
      </c>
      <c r="V13" s="183"/>
      <c r="W13" s="183"/>
      <c r="X13" s="183" t="s">
        <v>869</v>
      </c>
      <c r="Y13" s="183" t="s">
        <v>537</v>
      </c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</row>
    <row r="14" spans="1:37" ht="45" x14ac:dyDescent="0.25">
      <c r="A14" s="27" t="str">
        <f t="shared" si="0"/>
        <v>F06</v>
      </c>
      <c r="B14" s="174" t="str">
        <f>ΓΕΝΙΚΑ!$C$4</f>
        <v>FORTHNET</v>
      </c>
      <c r="C14" s="154">
        <f>IF(R14="",IF(ΓΕΝΙΚΑ!$B$21="ΝΑΙ",14684,""),"")</f>
        <v>14684</v>
      </c>
      <c r="D14" s="155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40.012873563218413</v>
      </c>
      <c r="H14" s="109">
        <f t="shared" si="1"/>
        <v>40.01</v>
      </c>
      <c r="I14" s="58">
        <v>28.066436781609177</v>
      </c>
      <c r="J14" s="74">
        <f t="shared" si="2"/>
        <v>28.07</v>
      </c>
      <c r="K14" s="31">
        <f t="shared" si="3"/>
        <v>68</v>
      </c>
      <c r="L14" s="60">
        <v>0</v>
      </c>
      <c r="M14" s="202">
        <f t="shared" si="4"/>
        <v>0</v>
      </c>
      <c r="N14" s="169" t="str">
        <f t="shared" si="6"/>
        <v>"Δευτέρα - Κυριακή: 24 ώρες &amp; αργίες Μέσω τηλεφώνου 13831  ή 13731 (ατελώς)"</v>
      </c>
      <c r="O14" s="169" t="str">
        <f t="shared" si="6"/>
        <v>Οποτεδήποτε μέσα σε 8 ώρες</v>
      </c>
      <c r="P14" s="170">
        <f t="shared" si="6"/>
        <v>0</v>
      </c>
      <c r="R14" s="40" t="str">
        <f t="shared" si="5"/>
        <v/>
      </c>
      <c r="S14" s="149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3" t="s">
        <v>536</v>
      </c>
      <c r="U14" s="183" t="s">
        <v>866</v>
      </c>
      <c r="V14" s="183"/>
      <c r="W14" s="183"/>
      <c r="X14" s="183" t="s">
        <v>869</v>
      </c>
      <c r="Y14" s="183" t="s">
        <v>537</v>
      </c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</row>
    <row r="15" spans="1:37" ht="45" x14ac:dyDescent="0.25">
      <c r="A15" s="27" t="str">
        <f t="shared" si="0"/>
        <v>F06</v>
      </c>
      <c r="B15" s="174" t="str">
        <f>ΓΕΝΙΚΑ!$C$4</f>
        <v>FORTHNET</v>
      </c>
      <c r="C15" s="32">
        <f>IF(R15="",IF(ΓΕΝΙΚΑ!$B$21="ΝΑΙ",14686,""),"")</f>
        <v>14686</v>
      </c>
      <c r="D15" s="156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25.433974358974357</v>
      </c>
      <c r="H15" s="109">
        <f t="shared" si="1"/>
        <v>25.43</v>
      </c>
      <c r="I15" s="58">
        <v>28.578846153846154</v>
      </c>
      <c r="J15" s="74">
        <f t="shared" si="2"/>
        <v>28.58</v>
      </c>
      <c r="K15" s="31">
        <f t="shared" si="3"/>
        <v>54</v>
      </c>
      <c r="L15" s="60">
        <v>0</v>
      </c>
      <c r="M15" s="202">
        <f t="shared" si="4"/>
        <v>0</v>
      </c>
      <c r="N15" s="169" t="str">
        <f t="shared" si="6"/>
        <v>"Δευτέρα - Κυριακή: 24 ώρες &amp; αργίες Μέσω τηλεφώνου 13831  ή 13731 (ατελώς)"</v>
      </c>
      <c r="O15" s="169" t="str">
        <f t="shared" si="6"/>
        <v>Οποτεδήποτε μέσα σε 8 ώρες</v>
      </c>
      <c r="P15" s="170">
        <f t="shared" si="6"/>
        <v>0</v>
      </c>
      <c r="R15" s="40" t="str">
        <f t="shared" si="5"/>
        <v/>
      </c>
      <c r="S15" s="149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3" t="s">
        <v>536</v>
      </c>
      <c r="U15" s="183" t="s">
        <v>866</v>
      </c>
      <c r="V15" s="183"/>
      <c r="W15" s="183"/>
      <c r="X15" s="183" t="s">
        <v>869</v>
      </c>
      <c r="Y15" s="183" t="s">
        <v>537</v>
      </c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</row>
    <row r="16" spans="1:37" ht="45.75" thickBot="1" x14ac:dyDescent="0.3">
      <c r="A16" s="27" t="str">
        <f t="shared" si="0"/>
        <v>F06</v>
      </c>
      <c r="B16" s="174" t="str">
        <f>ΓΕΝΙΚΑ!$C$4</f>
        <v>FORTHNET</v>
      </c>
      <c r="C16" s="157">
        <f>IF(R16="",IF(ΓΕΝΙΚΑ!$B$21="ΝΑΙ",14688,""),"")</f>
        <v>14688</v>
      </c>
      <c r="D16" s="158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22.831999999999997</v>
      </c>
      <c r="H16" s="109">
        <f t="shared" si="1"/>
        <v>22.83</v>
      </c>
      <c r="I16" s="59">
        <v>30.548000000000002</v>
      </c>
      <c r="J16" s="74">
        <f t="shared" si="2"/>
        <v>30.55</v>
      </c>
      <c r="K16" s="33">
        <f t="shared" si="3"/>
        <v>53</v>
      </c>
      <c r="L16" s="61">
        <v>0</v>
      </c>
      <c r="M16" s="202">
        <f t="shared" si="4"/>
        <v>0</v>
      </c>
      <c r="N16" s="169" t="str">
        <f t="shared" si="6"/>
        <v>"Δευτέρα - Κυριακή: 24 ώρες &amp; αργίες Μέσω τηλεφώνου 13831  ή 13731 (ατελώς)"</v>
      </c>
      <c r="O16" s="169" t="str">
        <f t="shared" si="6"/>
        <v>Οποτεδήποτε μέσα σε 8 ώρες</v>
      </c>
      <c r="P16" s="170">
        <f t="shared" si="6"/>
        <v>0</v>
      </c>
      <c r="R16" s="40" t="str">
        <f t="shared" si="5"/>
        <v/>
      </c>
      <c r="S16" s="149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3" t="s">
        <v>536</v>
      </c>
      <c r="U16" s="183" t="s">
        <v>866</v>
      </c>
      <c r="V16" s="183"/>
      <c r="W16" s="183"/>
      <c r="X16" s="183" t="s">
        <v>869</v>
      </c>
      <c r="Y16" s="183" t="s">
        <v>537</v>
      </c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</row>
    <row r="17" spans="1:37" ht="45" x14ac:dyDescent="0.25">
      <c r="A17" s="27" t="str">
        <f t="shared" si="0"/>
        <v>F06</v>
      </c>
      <c r="B17" s="174" t="str">
        <f>ΓΕΝΙΚΑ!$C$4</f>
        <v>FORTHNET</v>
      </c>
      <c r="C17" s="34">
        <f>IF(R17="",IF(ΓΕΝΙΚΑ!$B$21="ΝΑΙ",15300,""),"")</f>
        <v>15300</v>
      </c>
      <c r="D17" s="153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63.96799884873041</v>
      </c>
      <c r="H17" s="109">
        <f t="shared" si="1"/>
        <v>63.97</v>
      </c>
      <c r="I17" s="55">
        <v>83.68988939599636</v>
      </c>
      <c r="J17" s="74">
        <f t="shared" si="2"/>
        <v>83.69</v>
      </c>
      <c r="K17" s="31">
        <f t="shared" si="3"/>
        <v>148</v>
      </c>
      <c r="L17" s="62">
        <v>2.8480327144120245</v>
      </c>
      <c r="M17" s="202">
        <f t="shared" si="4"/>
        <v>3</v>
      </c>
      <c r="N17" s="169" t="str">
        <f t="shared" si="6"/>
        <v>"Δευτέρα - Κυριακή: 24 ώρες &amp; αργίες Μέσω τηλεφώνου 13831  ή 13731 (ατελώς)"</v>
      </c>
      <c r="O17" s="169" t="str">
        <f t="shared" si="6"/>
        <v>Οποτεδήποτε μέσα σε 8 ώρες</v>
      </c>
      <c r="P17" s="170">
        <f t="shared" si="6"/>
        <v>0</v>
      </c>
      <c r="R17" s="40" t="str">
        <f t="shared" si="5"/>
        <v/>
      </c>
      <c r="S17" s="149" t="str">
        <f>IF(K17="",T3,"")</f>
        <v/>
      </c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</row>
    <row r="18" spans="1:37" ht="45" x14ac:dyDescent="0.25">
      <c r="A18" s="27" t="str">
        <f t="shared" si="0"/>
        <v>F06</v>
      </c>
      <c r="B18" s="174" t="str">
        <f>ΓΕΝΙΚΑ!$C$4</f>
        <v>FORTHNET</v>
      </c>
      <c r="C18" s="154">
        <f>IF(R18="",IF(ΓΕΝΙΚΑ!$B$21="ΝΑΙ",14664,""),"")</f>
        <v>14664</v>
      </c>
      <c r="D18" s="155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57.976487053883382</v>
      </c>
      <c r="H18" s="109">
        <f t="shared" si="1"/>
        <v>57.98</v>
      </c>
      <c r="I18" s="58">
        <v>95.852764170749225</v>
      </c>
      <c r="J18" s="74">
        <f t="shared" si="2"/>
        <v>95.85</v>
      </c>
      <c r="K18" s="31">
        <f t="shared" si="3"/>
        <v>154</v>
      </c>
      <c r="L18" s="60">
        <v>3.1426403641881637</v>
      </c>
      <c r="M18" s="202">
        <f t="shared" si="4"/>
        <v>3</v>
      </c>
      <c r="N18" s="169" t="str">
        <f t="shared" si="6"/>
        <v>"Δευτέρα - Κυριακή: 24 ώρες &amp; αργίες Μέσω τηλεφώνου 13831  ή 13731 (ατελώς)"</v>
      </c>
      <c r="O18" s="169" t="str">
        <f t="shared" si="6"/>
        <v>Οποτεδήποτε μέσα σε 8 ώρες</v>
      </c>
      <c r="P18" s="170">
        <f t="shared" si="6"/>
        <v>0</v>
      </c>
      <c r="R18" s="40" t="str">
        <f t="shared" si="5"/>
        <v/>
      </c>
      <c r="S18" s="149" t="str">
        <f>IF(AND(K18="",ΠΕΡΙΦΕΡΕΙΑ!B2&lt;&gt;"Καθόλου"),T4,"")</f>
        <v/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</row>
    <row r="19" spans="1:37" ht="45" x14ac:dyDescent="0.25">
      <c r="A19" s="27" t="str">
        <f t="shared" si="0"/>
        <v>F06</v>
      </c>
      <c r="B19" s="174" t="str">
        <f>ΓΕΝΙΚΑ!$C$4</f>
        <v>FORTHNET</v>
      </c>
      <c r="C19" s="32">
        <f>IF(R19="",IF(ΓΕΝΙΚΑ!$B$21="ΝΑΙ",14666,""),"")</f>
        <v>14666</v>
      </c>
      <c r="D19" s="156" t="str">
        <f>IF(ΓΕΝΙΚΑ!$B$21="ΝΑΙ","Π. ΑΤΤΙΚΗΣ","")</f>
        <v>Π. ΑΤΤΙΚΗΣ</v>
      </c>
      <c r="E19" s="8" t="s">
        <v>39</v>
      </c>
      <c r="F19" s="8">
        <v>95</v>
      </c>
      <c r="G19" s="58">
        <v>64.792002024803253</v>
      </c>
      <c r="H19" s="109">
        <f t="shared" si="1"/>
        <v>64.790000000000006</v>
      </c>
      <c r="I19" s="58">
        <v>82.619539357125376</v>
      </c>
      <c r="J19" s="74">
        <f t="shared" si="2"/>
        <v>82.62</v>
      </c>
      <c r="K19" s="31">
        <f t="shared" si="3"/>
        <v>147</v>
      </c>
      <c r="L19" s="60">
        <v>4.7815573770491806</v>
      </c>
      <c r="M19" s="202">
        <f t="shared" si="4"/>
        <v>5</v>
      </c>
      <c r="N19" s="169" t="str">
        <f t="shared" si="6"/>
        <v>"Δευτέρα - Κυριακή: 24 ώρες &amp; αργίες Μέσω τηλεφώνου 13831  ή 13731 (ατελώς)"</v>
      </c>
      <c r="O19" s="169" t="str">
        <f t="shared" si="6"/>
        <v>Οποτεδήποτε μέσα σε 8 ώρες</v>
      </c>
      <c r="P19" s="170">
        <f t="shared" si="6"/>
        <v>0</v>
      </c>
      <c r="R19" s="40" t="str">
        <f t="shared" si="5"/>
        <v/>
      </c>
      <c r="S19" s="149" t="str">
        <f>IF(AND(K19="",ΠΕΡΙΦΕΡΕΙΑ!B3&lt;&gt;"Καθόλου"),T5,"")</f>
        <v/>
      </c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</row>
    <row r="20" spans="1:37" ht="45" x14ac:dyDescent="0.25">
      <c r="A20" s="27" t="str">
        <f t="shared" si="0"/>
        <v>F06</v>
      </c>
      <c r="B20" s="174" t="str">
        <f>ΓΕΝΙΚΑ!$C$4</f>
        <v>FORTHNET</v>
      </c>
      <c r="C20" s="154">
        <f>IF(R20="",IF(ΓΕΝΙΚΑ!$B$21="ΝΑΙ",14668,""),"")</f>
        <v>14668</v>
      </c>
      <c r="D20" s="155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86.627462121211977</v>
      </c>
      <c r="H20" s="109">
        <f t="shared" si="1"/>
        <v>86.63</v>
      </c>
      <c r="I20" s="58">
        <v>121.39364177489192</v>
      </c>
      <c r="J20" s="74">
        <f t="shared" si="2"/>
        <v>121.39</v>
      </c>
      <c r="K20" s="31">
        <f t="shared" si="3"/>
        <v>208</v>
      </c>
      <c r="L20" s="60">
        <v>1.0997442455242967</v>
      </c>
      <c r="M20" s="202">
        <f t="shared" si="4"/>
        <v>1</v>
      </c>
      <c r="N20" s="169" t="str">
        <f t="shared" si="6"/>
        <v>"Δευτέρα - Κυριακή: 24 ώρες &amp; αργίες Μέσω τηλεφώνου 13831  ή 13731 (ατελώς)"</v>
      </c>
      <c r="O20" s="169" t="str">
        <f t="shared" si="6"/>
        <v>Οποτεδήποτε μέσα σε 8 ώρες</v>
      </c>
      <c r="P20" s="170">
        <f t="shared" si="6"/>
        <v>0</v>
      </c>
      <c r="R20" s="40" t="str">
        <f t="shared" si="5"/>
        <v/>
      </c>
      <c r="S20" s="149" t="str">
        <f>IF(AND(K20="",ΠΕΡΙΦΕΡΕΙΑ!B4&lt;&gt;"Καθόλου"),T6,"")</f>
        <v/>
      </c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</row>
    <row r="21" spans="1:37" ht="45" x14ac:dyDescent="0.25">
      <c r="A21" s="27" t="str">
        <f t="shared" si="0"/>
        <v>F06</v>
      </c>
      <c r="B21" s="174" t="str">
        <f>ΓΕΝΙΚΑ!$C$4</f>
        <v>FORTHNET</v>
      </c>
      <c r="C21" s="32">
        <f>IF(R21="",IF(ΓΕΝΙΚΑ!$B$21="ΝΑΙ",14670,""),"")</f>
        <v>14670</v>
      </c>
      <c r="D21" s="156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65.289556692242172</v>
      </c>
      <c r="H21" s="109">
        <f t="shared" si="1"/>
        <v>65.290000000000006</v>
      </c>
      <c r="I21" s="58">
        <v>87.285890878090314</v>
      </c>
      <c r="J21" s="74">
        <f t="shared" si="2"/>
        <v>87.29</v>
      </c>
      <c r="K21" s="31">
        <f t="shared" si="3"/>
        <v>153</v>
      </c>
      <c r="L21" s="60">
        <v>2.5906432748538011</v>
      </c>
      <c r="M21" s="202">
        <f t="shared" si="4"/>
        <v>3</v>
      </c>
      <c r="N21" s="169" t="str">
        <f t="shared" si="6"/>
        <v>"Δευτέρα - Κυριακή: 24 ώρες &amp; αργίες Μέσω τηλεφώνου 13831  ή 13731 (ατελώς)"</v>
      </c>
      <c r="O21" s="169" t="str">
        <f t="shared" si="6"/>
        <v>Οποτεδήποτε μέσα σε 8 ώρες</v>
      </c>
      <c r="P21" s="170">
        <f t="shared" si="6"/>
        <v>0</v>
      </c>
      <c r="R21" s="40" t="str">
        <f t="shared" si="5"/>
        <v/>
      </c>
      <c r="S21" s="149" t="str">
        <f>IF(AND(K21="",ΠΕΡΙΦΕΡΕΙΑ!B5&lt;&gt;"Καθόλου"),T7,"")</f>
        <v/>
      </c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</row>
    <row r="22" spans="1:37" ht="45" x14ac:dyDescent="0.25">
      <c r="A22" s="27" t="str">
        <f t="shared" si="0"/>
        <v>F06</v>
      </c>
      <c r="B22" s="174" t="str">
        <f>ΓΕΝΙΚΑ!$C$4</f>
        <v>FORTHNET</v>
      </c>
      <c r="C22" s="154">
        <f>IF(R22="",IF(ΓΕΝΙΚΑ!$B$21="ΝΑΙ",14672,""),"")</f>
        <v>14672</v>
      </c>
      <c r="D22" s="155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61.173871527777777</v>
      </c>
      <c r="H22" s="109">
        <f t="shared" si="1"/>
        <v>61.17</v>
      </c>
      <c r="I22" s="58">
        <v>58.841753472222223</v>
      </c>
      <c r="J22" s="74">
        <f t="shared" si="2"/>
        <v>58.84</v>
      </c>
      <c r="K22" s="31">
        <f t="shared" si="3"/>
        <v>120</v>
      </c>
      <c r="L22" s="60">
        <v>0.35897435897435898</v>
      </c>
      <c r="M22" s="202">
        <f t="shared" si="4"/>
        <v>0</v>
      </c>
      <c r="N22" s="169" t="str">
        <f t="shared" si="6"/>
        <v>"Δευτέρα - Κυριακή: 24 ώρες &amp; αργίες Μέσω τηλεφώνου 13831  ή 13731 (ατελώς)"</v>
      </c>
      <c r="O22" s="169" t="str">
        <f t="shared" si="6"/>
        <v>Οποτεδήποτε μέσα σε 8 ώρες</v>
      </c>
      <c r="P22" s="170">
        <f t="shared" si="6"/>
        <v>0</v>
      </c>
      <c r="R22" s="40" t="str">
        <f t="shared" si="5"/>
        <v/>
      </c>
      <c r="S22" s="149" t="str">
        <f>IF(AND(K22="",ΠΕΡΙΦΕΡΕΙΑ!B6&lt;&gt;"Καθόλου"),T8,"")</f>
        <v/>
      </c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</row>
    <row r="23" spans="1:37" ht="45" x14ac:dyDescent="0.25">
      <c r="A23" s="27" t="str">
        <f t="shared" si="0"/>
        <v>F06</v>
      </c>
      <c r="B23" s="174" t="str">
        <f>ΓΕΝΙΚΑ!$C$4</f>
        <v>FORTHNET</v>
      </c>
      <c r="C23" s="32">
        <f>IF(R23="",IF(ΓΕΝΙΚΑ!$B$21="ΝΑΙ",14674,""),"")</f>
        <v>14674</v>
      </c>
      <c r="D23" s="156" t="str">
        <f>IF(ΓΕΝΙΚΑ!$B$21="ΝΑΙ","Π. ΗΠΕΙΡΟΥ","")</f>
        <v>Π. ΗΠΕΙΡΟΥ</v>
      </c>
      <c r="E23" s="8" t="s">
        <v>406</v>
      </c>
      <c r="F23" s="8">
        <v>95</v>
      </c>
      <c r="G23" s="58">
        <v>69.488888888888866</v>
      </c>
      <c r="H23" s="109">
        <f t="shared" si="1"/>
        <v>69.489999999999995</v>
      </c>
      <c r="I23" s="58">
        <v>59.685714285714312</v>
      </c>
      <c r="J23" s="74">
        <f t="shared" si="2"/>
        <v>59.69</v>
      </c>
      <c r="K23" s="31">
        <f t="shared" si="3"/>
        <v>129</v>
      </c>
      <c r="L23" s="60">
        <v>10.882352941176471</v>
      </c>
      <c r="M23" s="202">
        <f t="shared" si="4"/>
        <v>11</v>
      </c>
      <c r="N23" s="169" t="str">
        <f t="shared" si="6"/>
        <v>"Δευτέρα - Κυριακή: 24 ώρες &amp; αργίες Μέσω τηλεφώνου 13831  ή 13731 (ατελώς)"</v>
      </c>
      <c r="O23" s="169" t="str">
        <f t="shared" si="6"/>
        <v>Οποτεδήποτε μέσα σε 8 ώρες</v>
      </c>
      <c r="P23" s="170">
        <f t="shared" si="6"/>
        <v>0</v>
      </c>
      <c r="R23" s="40" t="str">
        <f t="shared" si="5"/>
        <v/>
      </c>
      <c r="S23" s="149" t="str">
        <f>IF(AND(K23="",ΠΕΡΙΦΕΡΕΙΑ!B7&lt;&gt;"Καθόλου"),T9,"")</f>
        <v/>
      </c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</row>
    <row r="24" spans="1:37" ht="45" x14ac:dyDescent="0.25">
      <c r="A24" s="27" t="str">
        <f t="shared" si="0"/>
        <v>F06</v>
      </c>
      <c r="B24" s="174" t="str">
        <f>ΓΕΝΙΚΑ!$C$4</f>
        <v>FORTHNET</v>
      </c>
      <c r="C24" s="154">
        <f>IF(R24="",IF(ΓΕΝΙΚΑ!$B$21="ΝΑΙ",14676,""),"")</f>
        <v>14676</v>
      </c>
      <c r="D24" s="155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55.484364686468652</v>
      </c>
      <c r="H24" s="109">
        <f t="shared" si="1"/>
        <v>55.48</v>
      </c>
      <c r="I24" s="58">
        <v>89.545338283828386</v>
      </c>
      <c r="J24" s="74">
        <f t="shared" si="2"/>
        <v>89.55</v>
      </c>
      <c r="K24" s="31">
        <f t="shared" si="3"/>
        <v>145</v>
      </c>
      <c r="L24" s="60">
        <v>15.242424242424242</v>
      </c>
      <c r="M24" s="202">
        <f t="shared" si="4"/>
        <v>15</v>
      </c>
      <c r="N24" s="169" t="str">
        <f t="shared" si="6"/>
        <v>"Δευτέρα - Κυριακή: 24 ώρες &amp; αργίες Μέσω τηλεφώνου 13831  ή 13731 (ατελώς)"</v>
      </c>
      <c r="O24" s="169" t="str">
        <f t="shared" si="6"/>
        <v>Οποτεδήποτε μέσα σε 8 ώρες</v>
      </c>
      <c r="P24" s="170">
        <f t="shared" si="6"/>
        <v>0</v>
      </c>
      <c r="R24" s="40" t="str">
        <f t="shared" si="5"/>
        <v/>
      </c>
      <c r="S24" s="149" t="str">
        <f>IF(AND(K24="",ΠΕΡΙΦΕΡΕΙΑ!B8&lt;&gt;"Καθόλου"),T10,"")</f>
        <v/>
      </c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</row>
    <row r="25" spans="1:37" ht="45" x14ac:dyDescent="0.25">
      <c r="A25" s="27" t="str">
        <f t="shared" si="0"/>
        <v>F06</v>
      </c>
      <c r="B25" s="174" t="str">
        <f>ΓΕΝΙΚΑ!$C$4</f>
        <v>FORTHNET</v>
      </c>
      <c r="C25" s="32">
        <f>IF(R25="",IF(ΓΕΝΙΚΑ!$B$21="ΝΑΙ",14678,""),"")</f>
        <v>14678</v>
      </c>
      <c r="D25" s="156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87.399539594843489</v>
      </c>
      <c r="H25" s="109">
        <f t="shared" si="1"/>
        <v>87.4</v>
      </c>
      <c r="I25" s="58">
        <v>84.821454880294638</v>
      </c>
      <c r="J25" s="74">
        <f t="shared" si="2"/>
        <v>84.82</v>
      </c>
      <c r="K25" s="31">
        <f t="shared" si="3"/>
        <v>172</v>
      </c>
      <c r="L25" s="60">
        <v>2.4074074074074074</v>
      </c>
      <c r="M25" s="202">
        <f t="shared" si="4"/>
        <v>2</v>
      </c>
      <c r="N25" s="169" t="str">
        <f t="shared" si="6"/>
        <v>"Δευτέρα - Κυριακή: 24 ώρες &amp; αργίες Μέσω τηλεφώνου 13831  ή 13731 (ατελώς)"</v>
      </c>
      <c r="O25" s="169" t="str">
        <f t="shared" si="6"/>
        <v>Οποτεδήποτε μέσα σε 8 ώρες</v>
      </c>
      <c r="P25" s="170">
        <f t="shared" si="6"/>
        <v>0</v>
      </c>
      <c r="R25" s="40" t="str">
        <f t="shared" si="5"/>
        <v/>
      </c>
      <c r="S25" s="149" t="str">
        <f>IF(AND(K25="",ΠΕΡΙΦΕΡΕΙΑ!B9&lt;&gt;"Καθόλου"),T11,"")</f>
        <v/>
      </c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</row>
    <row r="26" spans="1:37" ht="45" x14ac:dyDescent="0.25">
      <c r="A26" s="27" t="str">
        <f t="shared" si="0"/>
        <v>F06</v>
      </c>
      <c r="B26" s="174" t="str">
        <f>ΓΕΝΙΚΑ!$C$4</f>
        <v>FORTHNET</v>
      </c>
      <c r="C26" s="154">
        <f>IF(R26="",IF(ΓΕΝΙΚΑ!$B$21="ΝΑΙ",14680,""),"")</f>
        <v>14680</v>
      </c>
      <c r="D26" s="155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61.802072731128234</v>
      </c>
      <c r="H26" s="109">
        <f t="shared" si="1"/>
        <v>61.8</v>
      </c>
      <c r="I26" s="58">
        <v>82.358232612383219</v>
      </c>
      <c r="J26" s="74">
        <f t="shared" si="2"/>
        <v>82.36</v>
      </c>
      <c r="K26" s="31">
        <f t="shared" si="3"/>
        <v>144</v>
      </c>
      <c r="L26" s="60">
        <v>2.0240192153722978</v>
      </c>
      <c r="M26" s="202">
        <f t="shared" si="4"/>
        <v>2</v>
      </c>
      <c r="N26" s="169" t="str">
        <f t="shared" si="6"/>
        <v>"Δευτέρα - Κυριακή: 24 ώρες &amp; αργίες Μέσω τηλεφώνου 13831  ή 13731 (ατελώς)"</v>
      </c>
      <c r="O26" s="169" t="str">
        <f t="shared" si="6"/>
        <v>Οποτεδήποτε μέσα σε 8 ώρες</v>
      </c>
      <c r="P26" s="170">
        <f t="shared" si="6"/>
        <v>0</v>
      </c>
      <c r="R26" s="40" t="str">
        <f t="shared" si="5"/>
        <v/>
      </c>
      <c r="S26" s="149" t="str">
        <f>IF(AND(K26="",ΠΕΡΙΦΕΡΕΙΑ!B10&lt;&gt;"Καθόλου"),T12,"")</f>
        <v/>
      </c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</row>
    <row r="27" spans="1:37" ht="45" x14ac:dyDescent="0.25">
      <c r="A27" s="27" t="str">
        <f t="shared" si="0"/>
        <v>F06</v>
      </c>
      <c r="B27" s="174" t="str">
        <f>ΓΕΝΙΚΑ!$C$4</f>
        <v>FORTHNET</v>
      </c>
      <c r="C27" s="32">
        <f>IF(R27="",IF(ΓΕΝΙΚΑ!$B$21="ΝΑΙ",14682,""),"")</f>
        <v>14682</v>
      </c>
      <c r="D27" s="156" t="str">
        <f>IF(ΓΕΝΙΚΑ!$B$21="ΝΑΙ","Π. ΚΡΗΤΗΣ","")</f>
        <v>Π. ΚΡΗΤΗΣ</v>
      </c>
      <c r="E27" s="8" t="s">
        <v>410</v>
      </c>
      <c r="F27" s="8">
        <v>95</v>
      </c>
      <c r="G27" s="58">
        <v>42.266817042606334</v>
      </c>
      <c r="H27" s="109">
        <f t="shared" si="1"/>
        <v>42.27</v>
      </c>
      <c r="I27" s="58">
        <v>92.000852130325995</v>
      </c>
      <c r="J27" s="74">
        <f t="shared" si="2"/>
        <v>92</v>
      </c>
      <c r="K27" s="31">
        <f t="shared" si="3"/>
        <v>134</v>
      </c>
      <c r="L27" s="60">
        <v>16.555555555555557</v>
      </c>
      <c r="M27" s="202">
        <f t="shared" si="4"/>
        <v>17</v>
      </c>
      <c r="N27" s="169" t="str">
        <f t="shared" si="6"/>
        <v>"Δευτέρα - Κυριακή: 24 ώρες &amp; αργίες Μέσω τηλεφώνου 13831  ή 13731 (ατελώς)"</v>
      </c>
      <c r="O27" s="169" t="str">
        <f t="shared" si="6"/>
        <v>Οποτεδήποτε μέσα σε 8 ώρες</v>
      </c>
      <c r="P27" s="170">
        <f t="shared" si="6"/>
        <v>0</v>
      </c>
      <c r="R27" s="40" t="str">
        <f t="shared" si="5"/>
        <v/>
      </c>
      <c r="S27" s="149" t="str">
        <f>IF(AND(K27="",ΠΕΡΙΦΕΡΕΙΑ!B11&lt;&gt;"Καθόλου"),T13,"")</f>
        <v/>
      </c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</row>
    <row r="28" spans="1:37" ht="45" x14ac:dyDescent="0.25">
      <c r="A28" s="27" t="str">
        <f t="shared" si="0"/>
        <v>F06</v>
      </c>
      <c r="B28" s="174" t="str">
        <f>ΓΕΝΙΚΑ!$C$4</f>
        <v>FORTHNET</v>
      </c>
      <c r="C28" s="154">
        <f>IF(R28="",IF(ΓΕΝΙΚΑ!$B$21="ΝΑΙ",14684,""),"")</f>
        <v>14684</v>
      </c>
      <c r="D28" s="155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84.003720508167021</v>
      </c>
      <c r="H28" s="109">
        <f t="shared" si="1"/>
        <v>84</v>
      </c>
      <c r="I28" s="58">
        <v>64.518965517241341</v>
      </c>
      <c r="J28" s="74">
        <f t="shared" si="2"/>
        <v>64.52</v>
      </c>
      <c r="K28" s="31">
        <f t="shared" si="3"/>
        <v>149</v>
      </c>
      <c r="L28" s="60">
        <v>1.0971168437025796</v>
      </c>
      <c r="M28" s="202">
        <f t="shared" si="4"/>
        <v>1</v>
      </c>
      <c r="N28" s="169" t="str">
        <f t="shared" si="6"/>
        <v>"Δευτέρα - Κυριακή: 24 ώρες &amp; αργίες Μέσω τηλεφώνου 13831  ή 13731 (ατελώς)"</v>
      </c>
      <c r="O28" s="169" t="str">
        <f t="shared" si="6"/>
        <v>Οποτεδήποτε μέσα σε 8 ώρες</v>
      </c>
      <c r="P28" s="170">
        <f t="shared" si="6"/>
        <v>0</v>
      </c>
      <c r="R28" s="40" t="str">
        <f t="shared" si="5"/>
        <v/>
      </c>
      <c r="S28" s="149" t="str">
        <f>IF(AND(K28="",ΠΕΡΙΦΕΡΕΙΑ!B12&lt;&gt;"Καθόλου"),T14,"")</f>
        <v/>
      </c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</row>
    <row r="29" spans="1:37" ht="45" x14ac:dyDescent="0.25">
      <c r="A29" s="27" t="str">
        <f t="shared" si="0"/>
        <v>F06</v>
      </c>
      <c r="B29" s="174" t="str">
        <f>ΓΕΝΙΚΑ!$C$4</f>
        <v>FORTHNET</v>
      </c>
      <c r="C29" s="32">
        <f>IF(R29="",IF(ΓΕΝΙΚΑ!$B$21="ΝΑΙ",14686,""),"")</f>
        <v>14686</v>
      </c>
      <c r="D29" s="156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56.909708193041531</v>
      </c>
      <c r="H29" s="109">
        <f t="shared" si="1"/>
        <v>56.91</v>
      </c>
      <c r="I29" s="58">
        <v>51.346184062850725</v>
      </c>
      <c r="J29" s="74">
        <f t="shared" si="2"/>
        <v>51.35</v>
      </c>
      <c r="K29" s="31">
        <f t="shared" si="3"/>
        <v>108</v>
      </c>
      <c r="L29" s="60">
        <v>2.2628205128205128</v>
      </c>
      <c r="M29" s="202">
        <f t="shared" si="4"/>
        <v>2</v>
      </c>
      <c r="N29" s="169" t="str">
        <f t="shared" si="6"/>
        <v>"Δευτέρα - Κυριακή: 24 ώρες &amp; αργίες Μέσω τηλεφώνου 13831  ή 13731 (ατελώς)"</v>
      </c>
      <c r="O29" s="169" t="str">
        <f t="shared" si="6"/>
        <v>Οποτεδήποτε μέσα σε 8 ώρες</v>
      </c>
      <c r="P29" s="170">
        <f t="shared" si="6"/>
        <v>0</v>
      </c>
      <c r="R29" s="40" t="str">
        <f t="shared" si="5"/>
        <v/>
      </c>
      <c r="S29" s="149" t="str">
        <f>IF(AND(K29="",ΠΕΡΙΦΕΡΕΙΑ!B13&lt;&gt;"Καθόλου"),T15,"")</f>
        <v/>
      </c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</row>
    <row r="30" spans="1:37" ht="45.75" thickBot="1" x14ac:dyDescent="0.3">
      <c r="A30" s="28" t="str">
        <f t="shared" si="0"/>
        <v>F06</v>
      </c>
      <c r="B30" s="174" t="str">
        <f>ΓΕΝΙΚΑ!$C$4</f>
        <v>FORTHNET</v>
      </c>
      <c r="C30" s="157">
        <f>IF(R30="",IF(ΓΕΝΙΚΑ!$B$21="ΝΑΙ",14688,""),"")</f>
        <v>14688</v>
      </c>
      <c r="D30" s="158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54.519122807017546</v>
      </c>
      <c r="H30" s="109">
        <f t="shared" si="1"/>
        <v>54.52</v>
      </c>
      <c r="I30" s="59">
        <v>49.607192982456141</v>
      </c>
      <c r="J30" s="74">
        <f t="shared" si="2"/>
        <v>49.61</v>
      </c>
      <c r="K30" s="31">
        <f t="shared" si="3"/>
        <v>104</v>
      </c>
      <c r="L30" s="61">
        <v>1.1457858769931664</v>
      </c>
      <c r="M30" s="202">
        <f t="shared" si="4"/>
        <v>1</v>
      </c>
      <c r="N30" s="171" t="str">
        <f t="shared" si="6"/>
        <v>"Δευτέρα - Κυριακή: 24 ώρες &amp; αργίες Μέσω τηλεφώνου 13831  ή 13731 (ατελώς)"</v>
      </c>
      <c r="O30" s="171" t="str">
        <f t="shared" si="6"/>
        <v>Οποτεδήποτε μέσα σε 8 ώρες</v>
      </c>
      <c r="P30" s="172">
        <f t="shared" si="6"/>
        <v>0</v>
      </c>
      <c r="R30" s="40" t="str">
        <f t="shared" si="5"/>
        <v/>
      </c>
      <c r="S30" s="150" t="str">
        <f>IF(AND(K30="",ΠΕΡΙΦΕΡΕΙΑ!B14&lt;&gt;"Καθόλου"),T16,"")</f>
        <v/>
      </c>
      <c r="T30" s="183"/>
      <c r="U30" s="183"/>
      <c r="V30" s="183">
        <v>2</v>
      </c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RowHeight="15" x14ac:dyDescent="0.25"/>
  <cols>
    <col min="1" max="1" width="39.7109375" style="132" customWidth="1"/>
    <col min="2" max="2" width="20" style="132" customWidth="1"/>
    <col min="3" max="5" width="37.140625" style="132" hidden="1" customWidth="1"/>
    <col min="6" max="6" width="37.140625" style="132" customWidth="1"/>
    <col min="7" max="9" width="9.140625" style="132"/>
    <col min="10" max="14" width="37.140625" style="132" customWidth="1"/>
    <col min="15" max="16384" width="9.140625" style="132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69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69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69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69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69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69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69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69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69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69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69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69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69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32" t="str">
        <f>CONCATENATE(C2,C3,C4,C5,C6,C7,C8,C9,C10,C11,C12,C13,C14)</f>
        <v/>
      </c>
      <c r="D15" s="132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32" t="str">
        <f>CONCATENATE(E2,E3,E4,E5,E6,E7,E8,E9,E10,E11,E12,E13,E14)</f>
        <v/>
      </c>
    </row>
  </sheetData>
  <sheetProtection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317" sqref="M317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8" bestFit="1" customWidth="1"/>
    <col min="12" max="12" width="36.7109375" style="78" bestFit="1" customWidth="1"/>
    <col min="13" max="13" width="16.7109375" style="78" customWidth="1"/>
    <col min="14" max="14" width="36" hidden="1" customWidth="1"/>
    <col min="15" max="15" width="32.85546875" hidden="1" customWidth="1"/>
    <col min="16" max="16384" width="9.140625" style="78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0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8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80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8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80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8" t="s">
        <v>418</v>
      </c>
      <c r="N4" t="str">
        <f t="shared" si="5"/>
        <v xml:space="preserve">ΑΝΑΤΟΛΙΚΗΣ ΜΑΚΕΔΟΝΙΑΣ ΚΑΙ ΘΡΑΚΗΣ - ΑΡΡΙΑΝΩΝ, </v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</v>
      </c>
    </row>
    <row r="5" spans="1:15" x14ac:dyDescent="0.25">
      <c r="A5" s="80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8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</v>
      </c>
    </row>
    <row r="6" spans="1:15" x14ac:dyDescent="0.25">
      <c r="A6" s="80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8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</v>
      </c>
    </row>
    <row r="7" spans="1:15" x14ac:dyDescent="0.25">
      <c r="A7" s="80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8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80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8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80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8" t="s">
        <v>418</v>
      </c>
      <c r="N9" t="str">
        <f t="shared" si="5"/>
        <v xml:space="preserve">ΑΝΑΤΟΛΙΚΗΣ ΜΑΚΕΔΟΝΙΑΣ ΚΑΙ ΘΡΑΚΗΣ - ΙΑΣΜΟΥ, </v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</v>
      </c>
    </row>
    <row r="10" spans="1:15" x14ac:dyDescent="0.25">
      <c r="A10" s="80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8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</v>
      </c>
    </row>
    <row r="11" spans="1:15" x14ac:dyDescent="0.25">
      <c r="A11" s="80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8" t="s">
        <v>418</v>
      </c>
      <c r="N11" t="str">
        <f t="shared" si="5"/>
        <v xml:space="preserve">ΑΝΑΤΟΛΙΚΗΣ ΜΑΚΕΔΟΝΙΑΣ ΚΑΙ ΘΡΑΚΗΣ - ΚΑΤΩ ΝΕΥΡΟΚΟΠΙΟΥ, </v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</v>
      </c>
    </row>
    <row r="12" spans="1:15" x14ac:dyDescent="0.25">
      <c r="A12" s="80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8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</v>
      </c>
    </row>
    <row r="13" spans="1:15" x14ac:dyDescent="0.25">
      <c r="A13" s="80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8" t="s">
        <v>418</v>
      </c>
      <c r="N13" t="str">
        <f t="shared" si="5"/>
        <v xml:space="preserve">ΑΝΑΤΟΛΙΚΗΣ ΜΑΚΕΔΟΝΙΑΣ ΚΑΙ ΘΡΑΚΗΣ - ΜΑΡΩΝΕΙΑΣ – ΣΑΠΩΝ, </v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</v>
      </c>
    </row>
    <row r="14" spans="1:15" x14ac:dyDescent="0.25">
      <c r="A14" s="80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8" t="s">
        <v>418</v>
      </c>
      <c r="N14" t="str">
        <f t="shared" si="5"/>
        <v xml:space="preserve">ΑΝΑΤΟΛΙΚΗΣ ΜΑΚΕΔΟΝΙΑΣ ΚΑΙ ΘΡΑΚΗΣ - ΜΥΚΗΣ, </v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</v>
      </c>
    </row>
    <row r="15" spans="1:15" x14ac:dyDescent="0.25">
      <c r="A15" s="80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8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</v>
      </c>
    </row>
    <row r="16" spans="1:15" x14ac:dyDescent="0.25">
      <c r="A16" s="80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8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</v>
      </c>
    </row>
    <row r="17" spans="1:15" x14ac:dyDescent="0.25">
      <c r="A17" s="80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8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80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8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80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8" t="s">
        <v>418</v>
      </c>
      <c r="N19" t="str">
        <f t="shared" si="5"/>
        <v xml:space="preserve">ΑΝΑΤΟΛΙΚΗΣ ΜΑΚΕΔΟΝΙΑΣ ΚΑΙ ΘΡΑΚΗΣ - ΠΑΡΑΝΕΣΤΙΟΥ, </v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</v>
      </c>
    </row>
    <row r="20" spans="1:15" x14ac:dyDescent="0.25">
      <c r="A20" s="80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8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1" spans="1:15" x14ac:dyDescent="0.25">
      <c r="A21" s="80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8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</v>
      </c>
    </row>
    <row r="22" spans="1:15" x14ac:dyDescent="0.25">
      <c r="A22" s="80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8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</v>
      </c>
    </row>
    <row r="23" spans="1:15" x14ac:dyDescent="0.25">
      <c r="A23" s="80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8" t="s">
        <v>418</v>
      </c>
      <c r="N23" t="str">
        <f t="shared" si="5"/>
        <v xml:space="preserve">ΑΝΑΤΟΛΙΚΗΣ ΜΑΚΕΔΟΝΙΑΣ ΚΑΙ ΘΡΑΚΗΣ - ΤΟΠΕΙΡΟΥ, </v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</v>
      </c>
    </row>
    <row r="24" spans="1:15" x14ac:dyDescent="0.25">
      <c r="A24" s="80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8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</v>
      </c>
    </row>
    <row r="25" spans="1:15" x14ac:dyDescent="0.25">
      <c r="A25" s="80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8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</v>
      </c>
    </row>
    <row r="26" spans="1:15" x14ac:dyDescent="0.25">
      <c r="A26" s="80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8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</v>
      </c>
    </row>
    <row r="27" spans="1:15" x14ac:dyDescent="0.25">
      <c r="A27" s="80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8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80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8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80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8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80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8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80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8" t="s">
        <v>419</v>
      </c>
      <c r="N31" t="str">
        <f t="shared" si="5"/>
        <v/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2" spans="1:15" x14ac:dyDescent="0.25">
      <c r="A32" s="80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8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</v>
      </c>
    </row>
    <row r="33" spans="1:15" x14ac:dyDescent="0.25">
      <c r="A33" s="80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8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</v>
      </c>
    </row>
    <row r="34" spans="1:15" x14ac:dyDescent="0.25">
      <c r="A34" s="80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8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</v>
      </c>
    </row>
    <row r="35" spans="1:15" x14ac:dyDescent="0.25">
      <c r="A35" s="80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8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</v>
      </c>
    </row>
    <row r="36" spans="1:15" x14ac:dyDescent="0.25">
      <c r="A36" s="80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8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80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8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80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8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80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8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80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8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80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8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80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8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80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8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80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8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80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8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80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8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80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8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80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8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80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8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80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8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80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8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80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8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80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8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80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8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80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8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80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8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80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8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80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8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80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8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80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8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80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8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80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8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80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8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80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8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80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8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80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8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80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8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80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8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80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8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80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8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80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8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80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8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80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8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80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8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80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8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80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8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80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8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80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8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80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8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80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8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80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8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80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8" t="s">
        <v>419</v>
      </c>
      <c r="N82" t="str">
        <f t="shared" si="12"/>
        <v/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3" spans="1:15" x14ac:dyDescent="0.25">
      <c r="A83" s="80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8" t="s">
        <v>419</v>
      </c>
      <c r="N83" t="str">
        <f t="shared" si="12"/>
        <v/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4" spans="1:15" x14ac:dyDescent="0.25">
      <c r="A84" s="80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8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</v>
      </c>
    </row>
    <row r="85" spans="1:15" x14ac:dyDescent="0.25">
      <c r="A85" s="80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8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</v>
      </c>
    </row>
    <row r="86" spans="1:15" x14ac:dyDescent="0.25">
      <c r="A86" s="80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8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</v>
      </c>
    </row>
    <row r="87" spans="1:15" x14ac:dyDescent="0.25">
      <c r="A87" s="80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8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80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8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80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8" t="s">
        <v>419</v>
      </c>
      <c r="N89" t="str">
        <f t="shared" si="12"/>
        <v/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0" spans="1:15" x14ac:dyDescent="0.25">
      <c r="A90" s="80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8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</v>
      </c>
    </row>
    <row r="91" spans="1:15" x14ac:dyDescent="0.25">
      <c r="A91" s="80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8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</v>
      </c>
    </row>
    <row r="92" spans="1:15" x14ac:dyDescent="0.25">
      <c r="A92" s="80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8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</v>
      </c>
    </row>
    <row r="93" spans="1:15" x14ac:dyDescent="0.25">
      <c r="A93" s="80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8" t="s">
        <v>418</v>
      </c>
      <c r="N93" t="str">
        <f t="shared" si="12"/>
        <v xml:space="preserve">ΒΟΡΕΙΟΥ ΑΙΓΑΙΟΥ - ΛΗΜΝΟΥ, </v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4" spans="1:15" x14ac:dyDescent="0.25">
      <c r="A94" s="80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8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</v>
      </c>
    </row>
    <row r="95" spans="1:15" x14ac:dyDescent="0.25">
      <c r="A95" s="80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8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6" spans="1:15" x14ac:dyDescent="0.25">
      <c r="A96" s="80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8" t="s">
        <v>419</v>
      </c>
      <c r="N96" t="str">
        <f t="shared" si="12"/>
        <v/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</v>
      </c>
    </row>
    <row r="97" spans="1:15" x14ac:dyDescent="0.25">
      <c r="A97" s="80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8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8" spans="1:15" x14ac:dyDescent="0.25">
      <c r="A98" s="80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8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</v>
      </c>
    </row>
    <row r="99" spans="1:15" x14ac:dyDescent="0.25">
      <c r="A99" s="80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8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</v>
      </c>
    </row>
    <row r="100" spans="1:15" x14ac:dyDescent="0.25">
      <c r="A100" s="80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8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1" spans="1:15" x14ac:dyDescent="0.25">
      <c r="A101" s="80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8" t="s">
        <v>419</v>
      </c>
      <c r="N101" t="str">
        <f t="shared" si="12"/>
        <v/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2" spans="1:15" x14ac:dyDescent="0.25">
      <c r="A102" s="80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8" t="s">
        <v>419</v>
      </c>
      <c r="N102" t="str">
        <f t="shared" si="12"/>
        <v/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3" spans="1:15" x14ac:dyDescent="0.25">
      <c r="A103" s="80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8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4" spans="1:15" x14ac:dyDescent="0.25">
      <c r="A104" s="80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8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5" spans="1:15" x14ac:dyDescent="0.25">
      <c r="A105" s="80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8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6" spans="1:15" x14ac:dyDescent="0.25">
      <c r="A106" s="80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8" t="s">
        <v>419</v>
      </c>
      <c r="N106" t="str">
        <f t="shared" si="12"/>
        <v/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7" spans="1:15" x14ac:dyDescent="0.25">
      <c r="A107" s="80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8" t="s">
        <v>419</v>
      </c>
      <c r="N107" t="str">
        <f t="shared" si="12"/>
        <v/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8" spans="1:15" x14ac:dyDescent="0.25">
      <c r="A108" s="80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8" t="s">
        <v>419</v>
      </c>
      <c r="N108" t="str">
        <f t="shared" si="12"/>
        <v/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</v>
      </c>
    </row>
    <row r="109" spans="1:15" x14ac:dyDescent="0.25">
      <c r="A109" s="80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8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0" spans="1:15" x14ac:dyDescent="0.25">
      <c r="A110" s="80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8" t="s">
        <v>419</v>
      </c>
      <c r="N110" t="str">
        <f t="shared" si="12"/>
        <v/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1" spans="1:15" x14ac:dyDescent="0.25">
      <c r="A111" s="80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8" t="s">
        <v>419</v>
      </c>
      <c r="N111" t="str">
        <f t="shared" si="12"/>
        <v/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2" spans="1:15" x14ac:dyDescent="0.25">
      <c r="A112" s="80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8" t="s">
        <v>419</v>
      </c>
      <c r="N112" t="str">
        <f t="shared" si="12"/>
        <v/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3" spans="1:15" x14ac:dyDescent="0.25">
      <c r="A113" s="80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8" t="s">
        <v>419</v>
      </c>
      <c r="N113" t="str">
        <f t="shared" si="12"/>
        <v/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4" spans="1:15" x14ac:dyDescent="0.25">
      <c r="A114" s="80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8" t="s">
        <v>419</v>
      </c>
      <c r="N114" t="str">
        <f t="shared" si="12"/>
        <v/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</v>
      </c>
    </row>
    <row r="115" spans="1:15" x14ac:dyDescent="0.25">
      <c r="A115" s="80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8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6" spans="1:15" x14ac:dyDescent="0.25">
      <c r="A116" s="80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8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</v>
      </c>
    </row>
    <row r="117" spans="1:15" x14ac:dyDescent="0.25">
      <c r="A117" s="80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8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8" spans="1:15" x14ac:dyDescent="0.25">
      <c r="A118" s="80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8" t="s">
        <v>419</v>
      </c>
      <c r="N118" t="str">
        <f t="shared" si="12"/>
        <v/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19" spans="1:15" x14ac:dyDescent="0.25">
      <c r="A119" s="80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8" t="s">
        <v>419</v>
      </c>
      <c r="N119" t="str">
        <f t="shared" si="12"/>
        <v/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</v>
      </c>
    </row>
    <row r="120" spans="1:15" x14ac:dyDescent="0.25">
      <c r="A120" s="80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8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1" spans="1:15" x14ac:dyDescent="0.25">
      <c r="A121" s="80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8" t="s">
        <v>419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</v>
      </c>
    </row>
    <row r="122" spans="1:15" x14ac:dyDescent="0.25">
      <c r="A122" s="80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8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</v>
      </c>
    </row>
    <row r="123" spans="1:15" x14ac:dyDescent="0.25">
      <c r="A123" s="80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8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</v>
      </c>
    </row>
    <row r="124" spans="1:15" x14ac:dyDescent="0.25">
      <c r="A124" s="80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8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80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8" t="s">
        <v>419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80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8" t="s">
        <v>419</v>
      </c>
      <c r="N126" t="str">
        <f t="shared" si="12"/>
        <v/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7" spans="1:15" x14ac:dyDescent="0.25">
      <c r="A127" s="80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8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8" spans="1:15" x14ac:dyDescent="0.25">
      <c r="A128" s="80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8" t="s">
        <v>419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</v>
      </c>
    </row>
    <row r="129" spans="1:15" x14ac:dyDescent="0.25">
      <c r="A129" s="80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8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</v>
      </c>
    </row>
    <row r="130" spans="1:15" x14ac:dyDescent="0.25">
      <c r="A130" s="80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8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1" spans="1:15" x14ac:dyDescent="0.25">
      <c r="A131" s="80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8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2" spans="1:15" x14ac:dyDescent="0.25">
      <c r="A132" s="80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8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3" spans="1:15" x14ac:dyDescent="0.25">
      <c r="A133" s="80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8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4" spans="1:15" x14ac:dyDescent="0.25">
      <c r="A134" s="80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8" t="s">
        <v>419</v>
      </c>
      <c r="N134" t="str">
        <f t="shared" si="19"/>
        <v/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5" spans="1:15" x14ac:dyDescent="0.25">
      <c r="A135" s="80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8" t="s">
        <v>419</v>
      </c>
      <c r="N135" t="str">
        <f t="shared" si="19"/>
        <v/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6" spans="1:15" x14ac:dyDescent="0.25">
      <c r="A136" s="80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8" t="s">
        <v>419</v>
      </c>
      <c r="N136" t="str">
        <f t="shared" si="19"/>
        <v/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</v>
      </c>
    </row>
    <row r="137" spans="1:15" x14ac:dyDescent="0.25">
      <c r="A137" s="80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8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</v>
      </c>
    </row>
    <row r="138" spans="1:15" x14ac:dyDescent="0.25">
      <c r="A138" s="80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8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39" spans="1:15" x14ac:dyDescent="0.25">
      <c r="A139" s="80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8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0" spans="1:15" x14ac:dyDescent="0.25">
      <c r="A140" s="80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8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</v>
      </c>
    </row>
    <row r="141" spans="1:15" x14ac:dyDescent="0.25">
      <c r="A141" s="80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8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2" spans="1:15" x14ac:dyDescent="0.25">
      <c r="A142" s="80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8" t="s">
        <v>419</v>
      </c>
      <c r="N142" t="str">
        <f t="shared" si="19"/>
        <v/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3" spans="1:15" x14ac:dyDescent="0.25">
      <c r="A143" s="80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8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</v>
      </c>
    </row>
    <row r="144" spans="1:15" x14ac:dyDescent="0.25">
      <c r="A144" s="80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8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5" spans="1:15" x14ac:dyDescent="0.25">
      <c r="A145" s="80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8" t="s">
        <v>419</v>
      </c>
      <c r="N145" t="str">
        <f t="shared" si="19"/>
        <v/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6" spans="1:15" x14ac:dyDescent="0.25">
      <c r="A146" s="80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8" t="s">
        <v>419</v>
      </c>
      <c r="N146" t="str">
        <f t="shared" si="19"/>
        <v/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7" spans="1:15" x14ac:dyDescent="0.25">
      <c r="A147" s="80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8" t="s">
        <v>419</v>
      </c>
      <c r="N147" t="str">
        <f t="shared" si="19"/>
        <v/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8" spans="1:15" x14ac:dyDescent="0.25">
      <c r="A148" s="80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8" t="s">
        <v>419</v>
      </c>
      <c r="N148" t="str">
        <f t="shared" si="19"/>
        <v/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</v>
      </c>
    </row>
    <row r="149" spans="1:15" x14ac:dyDescent="0.25">
      <c r="A149" s="80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8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0" spans="1:15" x14ac:dyDescent="0.25">
      <c r="A150" s="80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8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1" spans="1:15" x14ac:dyDescent="0.25">
      <c r="A151" s="80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8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</v>
      </c>
    </row>
    <row r="152" spans="1:15" x14ac:dyDescent="0.25">
      <c r="A152" s="80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8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3" spans="1:15" x14ac:dyDescent="0.25">
      <c r="A153" s="80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8" t="s">
        <v>419</v>
      </c>
      <c r="N153" t="str">
        <f t="shared" si="19"/>
        <v/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4" spans="1:15" x14ac:dyDescent="0.25">
      <c r="A154" s="80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8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5" spans="1:15" x14ac:dyDescent="0.25">
      <c r="A155" s="80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8" t="s">
        <v>419</v>
      </c>
      <c r="N155" t="str">
        <f t="shared" si="19"/>
        <v/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</v>
      </c>
    </row>
    <row r="156" spans="1:15" x14ac:dyDescent="0.25">
      <c r="A156" s="80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8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7" spans="1:15" x14ac:dyDescent="0.25">
      <c r="A157" s="80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8" t="s">
        <v>419</v>
      </c>
      <c r="N157" t="str">
        <f t="shared" si="19"/>
        <v/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</v>
      </c>
    </row>
    <row r="158" spans="1:15" x14ac:dyDescent="0.25">
      <c r="A158" s="80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8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59" spans="1:15" x14ac:dyDescent="0.25">
      <c r="A159" s="80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8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0" spans="1:15" x14ac:dyDescent="0.25">
      <c r="A160" s="80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8" t="s">
        <v>419</v>
      </c>
      <c r="N160" t="str">
        <f t="shared" si="19"/>
        <v/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1" spans="1:15" x14ac:dyDescent="0.25">
      <c r="A161" s="80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8" t="s">
        <v>419</v>
      </c>
      <c r="N161" t="str">
        <f t="shared" si="19"/>
        <v/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2" spans="1:15" x14ac:dyDescent="0.25">
      <c r="A162" s="80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8" t="s">
        <v>419</v>
      </c>
      <c r="N162" t="str">
        <f t="shared" si="19"/>
        <v/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3" spans="1:15" x14ac:dyDescent="0.25">
      <c r="A163" s="80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8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4" spans="1:15" x14ac:dyDescent="0.25">
      <c r="A164" s="80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8" t="s">
        <v>419</v>
      </c>
      <c r="N164" t="str">
        <f t="shared" si="19"/>
        <v/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5" spans="1:15" x14ac:dyDescent="0.25">
      <c r="A165" s="80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8" t="s">
        <v>419</v>
      </c>
      <c r="N165" t="str">
        <f t="shared" si="19"/>
        <v/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6" spans="1:15" x14ac:dyDescent="0.25">
      <c r="A166" s="80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8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7" spans="1:15" x14ac:dyDescent="0.25">
      <c r="A167" s="80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8" t="s">
        <v>419</v>
      </c>
      <c r="N167" t="str">
        <f t="shared" si="19"/>
        <v/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8" spans="1:15" x14ac:dyDescent="0.25">
      <c r="A168" s="80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8" t="s">
        <v>419</v>
      </c>
      <c r="N168" t="str">
        <f t="shared" si="19"/>
        <v/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</v>
      </c>
    </row>
    <row r="169" spans="1:15" x14ac:dyDescent="0.25">
      <c r="A169" s="80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8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0" spans="1:15" x14ac:dyDescent="0.25">
      <c r="A170" s="80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8" t="s">
        <v>419</v>
      </c>
      <c r="N170" t="str">
        <f t="shared" si="19"/>
        <v/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1" spans="1:15" x14ac:dyDescent="0.25">
      <c r="A171" s="80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8" t="s">
        <v>419</v>
      </c>
      <c r="N171" t="str">
        <f t="shared" si="19"/>
        <v/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2" spans="1:15" x14ac:dyDescent="0.25">
      <c r="A172" s="80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8" t="s">
        <v>419</v>
      </c>
      <c r="N172" t="str">
        <f t="shared" si="19"/>
        <v/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</v>
      </c>
    </row>
    <row r="173" spans="1:15" x14ac:dyDescent="0.25">
      <c r="A173" s="80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8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4" spans="1:15" x14ac:dyDescent="0.25">
      <c r="A174" s="80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8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</v>
      </c>
    </row>
    <row r="175" spans="1:15" x14ac:dyDescent="0.25">
      <c r="A175" s="80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8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</v>
      </c>
    </row>
    <row r="176" spans="1:15" x14ac:dyDescent="0.25">
      <c r="A176" s="80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8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</v>
      </c>
    </row>
    <row r="177" spans="1:15" x14ac:dyDescent="0.25">
      <c r="A177" s="80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8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80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8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80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8" t="s">
        <v>419</v>
      </c>
      <c r="N179" t="str">
        <f t="shared" si="19"/>
        <v/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0" spans="1:15" x14ac:dyDescent="0.25">
      <c r="A180" s="80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8" t="s">
        <v>419</v>
      </c>
      <c r="N180" t="str">
        <f t="shared" si="19"/>
        <v/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1" spans="1:15" x14ac:dyDescent="0.25">
      <c r="A181" s="80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8" t="s">
        <v>419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</v>
      </c>
    </row>
    <row r="182" spans="1:15" x14ac:dyDescent="0.25">
      <c r="A182" s="80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8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</v>
      </c>
    </row>
    <row r="183" spans="1:15" x14ac:dyDescent="0.25">
      <c r="A183" s="80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8" t="s">
        <v>418</v>
      </c>
      <c r="N183" t="str">
        <f t="shared" si="19"/>
        <v xml:space="preserve">ΚΕΝΤΡΙΚΗΣ ΜΑΚΕΔΟΝΙΑΣ - ΑΜΦΙΠΟΛΗΣ, </v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</v>
      </c>
    </row>
    <row r="184" spans="1:15" x14ac:dyDescent="0.25">
      <c r="A184" s="80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8" t="s">
        <v>418</v>
      </c>
      <c r="N184" t="str">
        <f t="shared" si="19"/>
        <v xml:space="preserve">ΚΕΝΤΡΙΚΗΣ ΜΑΚΕΔΟΝΙΑΣ - ΑΡΙΣΤΟΤΕΛΗ, </v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</v>
      </c>
    </row>
    <row r="185" spans="1:15" x14ac:dyDescent="0.25">
      <c r="A185" s="80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8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</v>
      </c>
    </row>
    <row r="186" spans="1:15" x14ac:dyDescent="0.25">
      <c r="A186" s="80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8" t="s">
        <v>418</v>
      </c>
      <c r="N186" t="str">
        <f t="shared" si="19"/>
        <v xml:space="preserve">ΚΕΝΤΡΙΚΗΣ ΜΑΚΕΔΟΝΙΑΣ - ΒΙΣΑΛΤΙΑΣ, </v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</v>
      </c>
    </row>
    <row r="187" spans="1:15" x14ac:dyDescent="0.25">
      <c r="A187" s="80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8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</v>
      </c>
    </row>
    <row r="188" spans="1:15" x14ac:dyDescent="0.25">
      <c r="A188" s="80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8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89" spans="1:15" x14ac:dyDescent="0.25">
      <c r="A189" s="80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8" t="s">
        <v>419</v>
      </c>
      <c r="N189" t="str">
        <f t="shared" si="19"/>
        <v/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</v>
      </c>
    </row>
    <row r="190" spans="1:15" x14ac:dyDescent="0.25">
      <c r="A190" s="80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8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</v>
      </c>
    </row>
    <row r="191" spans="1:15" x14ac:dyDescent="0.25">
      <c r="A191" s="80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8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</v>
      </c>
    </row>
    <row r="192" spans="1:15" x14ac:dyDescent="0.25">
      <c r="A192" s="80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8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80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8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80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8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80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8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80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8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80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8" t="s">
        <v>418</v>
      </c>
      <c r="N197" t="str">
        <f t="shared" si="26"/>
        <v xml:space="preserve">ΚΕΝΤΡΙΚΗΣ ΜΑΚΕΔΟΝΙΑΣ - ΚΑΣΣΑΝΔΡΑΣ, </v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</v>
      </c>
    </row>
    <row r="198" spans="1:15" x14ac:dyDescent="0.25">
      <c r="A198" s="80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8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</v>
      </c>
    </row>
    <row r="199" spans="1:15" x14ac:dyDescent="0.25">
      <c r="A199" s="80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8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</v>
      </c>
    </row>
    <row r="200" spans="1:15" x14ac:dyDescent="0.25">
      <c r="A200" s="80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8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80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8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80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8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80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8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80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8" t="s">
        <v>418</v>
      </c>
      <c r="N204" t="str">
        <f t="shared" si="26"/>
        <v xml:space="preserve">ΚΕΝΤΡΙΚΗΣ ΜΑΚΕΔΟΝΙΑΣ - ΝΕΑΣ ΖΙΧΝΗΣ, </v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</v>
      </c>
    </row>
    <row r="205" spans="1:15" x14ac:dyDescent="0.25">
      <c r="A205" s="80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8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</v>
      </c>
    </row>
    <row r="206" spans="1:15" x14ac:dyDescent="0.25">
      <c r="A206" s="80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8" t="s">
        <v>418</v>
      </c>
      <c r="N206" t="str">
        <f t="shared" si="26"/>
        <v xml:space="preserve">ΚΕΝΤΡΙΚΗΣ ΜΑΚΕΔΟΝΙΑΣ - ΠΑΙΟΝΙΑΣ, </v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</v>
      </c>
    </row>
    <row r="207" spans="1:15" x14ac:dyDescent="0.25">
      <c r="A207" s="80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8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</v>
      </c>
    </row>
    <row r="208" spans="1:15" x14ac:dyDescent="0.25">
      <c r="A208" s="80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8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</v>
      </c>
    </row>
    <row r="209" spans="1:15" x14ac:dyDescent="0.25">
      <c r="A209" s="80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8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80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8" t="s">
        <v>419</v>
      </c>
      <c r="N210" t="str">
        <f t="shared" si="26"/>
        <v/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</v>
      </c>
    </row>
    <row r="211" spans="1:15" x14ac:dyDescent="0.25">
      <c r="A211" s="80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8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</v>
      </c>
    </row>
    <row r="212" spans="1:15" x14ac:dyDescent="0.25">
      <c r="A212" s="80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8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</v>
      </c>
    </row>
    <row r="213" spans="1:15" x14ac:dyDescent="0.25">
      <c r="A213" s="80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8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80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8" t="s">
        <v>418</v>
      </c>
      <c r="N214" t="str">
        <f t="shared" si="26"/>
        <v xml:space="preserve">ΚΕΝΤΡΙΚΗΣ ΜΑΚΕΔΟΝΙΑΣ - ΣΙΝΤΙΚΗΣ, </v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5" spans="1:15" x14ac:dyDescent="0.25">
      <c r="A215" s="80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8" t="s">
        <v>419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</v>
      </c>
    </row>
    <row r="216" spans="1:15" x14ac:dyDescent="0.25">
      <c r="A216" s="80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8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</v>
      </c>
    </row>
    <row r="217" spans="1:15" x14ac:dyDescent="0.25">
      <c r="A217" s="80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8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8" spans="1:15" x14ac:dyDescent="0.25">
      <c r="A218" s="80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8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</v>
      </c>
    </row>
    <row r="219" spans="1:15" x14ac:dyDescent="0.25">
      <c r="A219" s="80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8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80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8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80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8" t="s">
        <v>419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80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8" t="s">
        <v>419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80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8" t="s">
        <v>419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80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8" t="s">
        <v>419</v>
      </c>
      <c r="N224" t="str">
        <f t="shared" si="26"/>
        <v/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5" spans="1:15" x14ac:dyDescent="0.25">
      <c r="A225" s="80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8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6" spans="1:15" x14ac:dyDescent="0.25">
      <c r="A226" s="80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8" t="s">
        <v>419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</v>
      </c>
    </row>
    <row r="227" spans="1:15" x14ac:dyDescent="0.25">
      <c r="A227" s="80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8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</v>
      </c>
    </row>
    <row r="228" spans="1:15" x14ac:dyDescent="0.25">
      <c r="A228" s="80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8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29" spans="1:15" x14ac:dyDescent="0.25">
      <c r="A229" s="80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8" t="s">
        <v>419</v>
      </c>
      <c r="N229" t="str">
        <f t="shared" si="26"/>
        <v/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0" spans="1:15" x14ac:dyDescent="0.25">
      <c r="A230" s="80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8" t="s">
        <v>419</v>
      </c>
      <c r="N230" t="str">
        <f t="shared" si="26"/>
        <v/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1" spans="1:15" x14ac:dyDescent="0.25">
      <c r="A231" s="80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8" t="s">
        <v>419</v>
      </c>
      <c r="N231" t="str">
        <f t="shared" si="26"/>
        <v/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2" spans="1:15" x14ac:dyDescent="0.25">
      <c r="A232" s="80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8" t="s">
        <v>419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3" spans="1:15" x14ac:dyDescent="0.25">
      <c r="A233" s="80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8" t="s">
        <v>419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4" spans="1:15" x14ac:dyDescent="0.25">
      <c r="A234" s="80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8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5" spans="1:15" x14ac:dyDescent="0.25">
      <c r="A235" s="80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8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</v>
      </c>
    </row>
    <row r="236" spans="1:15" x14ac:dyDescent="0.25">
      <c r="A236" s="80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8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</v>
      </c>
    </row>
    <row r="237" spans="1:15" x14ac:dyDescent="0.25">
      <c r="A237" s="80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8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8" spans="1:15" x14ac:dyDescent="0.25">
      <c r="A238" s="80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8" t="s">
        <v>419</v>
      </c>
      <c r="N238" t="str">
        <f t="shared" si="26"/>
        <v/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39" spans="1:15" x14ac:dyDescent="0.25">
      <c r="A239" s="80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8" t="s">
        <v>419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</v>
      </c>
    </row>
    <row r="240" spans="1:15" x14ac:dyDescent="0.25">
      <c r="A240" s="80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8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1" spans="1:15" x14ac:dyDescent="0.25">
      <c r="A241" s="80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8" t="s">
        <v>419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2" spans="1:15" x14ac:dyDescent="0.25">
      <c r="A242" s="80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8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3" spans="1:15" x14ac:dyDescent="0.25">
      <c r="A243" s="80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8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4" spans="1:15" x14ac:dyDescent="0.25">
      <c r="A244" s="80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8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5" spans="1:15" x14ac:dyDescent="0.25">
      <c r="A245" s="80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8" t="s">
        <v>419</v>
      </c>
      <c r="N245" t="str">
        <f t="shared" si="26"/>
        <v/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6" spans="1:15" x14ac:dyDescent="0.25">
      <c r="A246" s="80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8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7" spans="1:15" x14ac:dyDescent="0.25">
      <c r="A247" s="80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8" t="s">
        <v>419</v>
      </c>
      <c r="N247" t="str">
        <f t="shared" si="26"/>
        <v/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8" spans="1:15" x14ac:dyDescent="0.25">
      <c r="A248" s="80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8" t="s">
        <v>419</v>
      </c>
      <c r="N248" t="str">
        <f t="shared" si="26"/>
        <v/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49" spans="1:15" x14ac:dyDescent="0.25">
      <c r="A249" s="80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8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</v>
      </c>
    </row>
    <row r="250" spans="1:15" x14ac:dyDescent="0.25">
      <c r="A250" s="80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8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</v>
      </c>
    </row>
    <row r="251" spans="1:15" x14ac:dyDescent="0.25">
      <c r="A251" s="80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8" t="s">
        <v>418</v>
      </c>
      <c r="N251" t="str">
        <f t="shared" si="26"/>
        <v xml:space="preserve">ΝΟΤΙΟΥ ΑΙΓΑΙΟΥ - ΚΑΡΠΑΘΟΥ, </v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2" spans="1:15" x14ac:dyDescent="0.25">
      <c r="A252" s="80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8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3" spans="1:15" x14ac:dyDescent="0.25">
      <c r="A253" s="80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8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4" spans="1:15" x14ac:dyDescent="0.25">
      <c r="A254" s="80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8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5" spans="1:15" x14ac:dyDescent="0.25">
      <c r="A255" s="80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8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</v>
      </c>
    </row>
    <row r="256" spans="1:15" x14ac:dyDescent="0.25">
      <c r="A256" s="80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8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7" spans="1:15" x14ac:dyDescent="0.25">
      <c r="A257" s="80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8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</v>
      </c>
    </row>
    <row r="258" spans="1:15" x14ac:dyDescent="0.25">
      <c r="A258" s="80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8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59" spans="1:15" x14ac:dyDescent="0.25">
      <c r="A259" s="80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8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0" spans="1:15" x14ac:dyDescent="0.25">
      <c r="A260" s="80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8" t="s">
        <v>419</v>
      </c>
      <c r="N260" t="str">
        <f t="shared" si="33"/>
        <v/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</v>
      </c>
    </row>
    <row r="261" spans="1:15" x14ac:dyDescent="0.25">
      <c r="A261" s="80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8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2" spans="1:15" x14ac:dyDescent="0.25">
      <c r="A262" s="80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8" t="s">
        <v>419</v>
      </c>
      <c r="N262" t="str">
        <f t="shared" si="33"/>
        <v/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3" spans="1:15" x14ac:dyDescent="0.25">
      <c r="A263" s="80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8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4" spans="1:15" x14ac:dyDescent="0.25">
      <c r="A264" s="80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8" t="s">
        <v>419</v>
      </c>
      <c r="N264" t="str">
        <f t="shared" si="33"/>
        <v/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</v>
      </c>
    </row>
    <row r="265" spans="1:15" x14ac:dyDescent="0.25">
      <c r="A265" s="80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8" t="s">
        <v>418</v>
      </c>
      <c r="N265" t="str">
        <f t="shared" si="33"/>
        <v xml:space="preserve">ΝΟΤΙΟΥ ΑΙΓΑΙΟΥ - ΠΑΤΜΟΥ, </v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</v>
      </c>
    </row>
    <row r="266" spans="1:15" x14ac:dyDescent="0.25">
      <c r="A266" s="80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8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7" spans="1:15" x14ac:dyDescent="0.25">
      <c r="A267" s="80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8" t="s">
        <v>419</v>
      </c>
      <c r="N267" t="str">
        <f t="shared" si="33"/>
        <v/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8" spans="1:15" x14ac:dyDescent="0.25">
      <c r="A268" s="80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8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69" spans="1:15" x14ac:dyDescent="0.25">
      <c r="A269" s="80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8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0" spans="1:15" x14ac:dyDescent="0.25">
      <c r="A270" s="80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8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1" spans="1:15" x14ac:dyDescent="0.25">
      <c r="A271" s="80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8" t="s">
        <v>419</v>
      </c>
      <c r="N271" t="str">
        <f t="shared" si="33"/>
        <v/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2" spans="1:15" x14ac:dyDescent="0.25">
      <c r="A272" s="80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8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3" spans="1:15" x14ac:dyDescent="0.25">
      <c r="A273" s="80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8" t="s">
        <v>419</v>
      </c>
      <c r="N273" t="str">
        <f t="shared" si="33"/>
        <v/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4" spans="1:15" x14ac:dyDescent="0.25">
      <c r="A274" s="80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8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5" spans="1:15" x14ac:dyDescent="0.25">
      <c r="A275" s="80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8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6" spans="1:15" x14ac:dyDescent="0.25">
      <c r="A276" s="80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8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</v>
      </c>
    </row>
    <row r="277" spans="1:15" x14ac:dyDescent="0.25">
      <c r="A277" s="80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8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8" spans="1:15" x14ac:dyDescent="0.25">
      <c r="A278" s="80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8" t="s">
        <v>419</v>
      </c>
      <c r="N278" t="str">
        <f t="shared" si="33"/>
        <v/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79" spans="1:15" x14ac:dyDescent="0.25">
      <c r="A279" s="80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8" t="s">
        <v>419</v>
      </c>
      <c r="N279" t="str">
        <f t="shared" si="33"/>
        <v/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0" spans="1:15" x14ac:dyDescent="0.25">
      <c r="A280" s="80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8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1" spans="1:15" x14ac:dyDescent="0.25">
      <c r="A281" s="80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8" t="s">
        <v>419</v>
      </c>
      <c r="N281" t="str">
        <f t="shared" si="33"/>
        <v/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2" spans="1:15" x14ac:dyDescent="0.25">
      <c r="A282" s="80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8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3" spans="1:15" x14ac:dyDescent="0.25">
      <c r="A283" s="80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8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4" spans="1:15" x14ac:dyDescent="0.25">
      <c r="A284" s="80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8" t="s">
        <v>419</v>
      </c>
      <c r="N284" t="str">
        <f t="shared" si="33"/>
        <v/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5" spans="1:15" x14ac:dyDescent="0.25">
      <c r="A285" s="80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8" t="s">
        <v>419</v>
      </c>
      <c r="N285" t="str">
        <f t="shared" si="33"/>
        <v/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</v>
      </c>
    </row>
    <row r="286" spans="1:15" x14ac:dyDescent="0.25">
      <c r="A286" s="80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8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</v>
      </c>
    </row>
    <row r="287" spans="1:15" x14ac:dyDescent="0.25">
      <c r="A287" s="80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8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</v>
      </c>
    </row>
    <row r="288" spans="1:15" x14ac:dyDescent="0.25">
      <c r="A288" s="80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8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89" spans="1:15" x14ac:dyDescent="0.25">
      <c r="A289" s="80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8" t="s">
        <v>419</v>
      </c>
      <c r="N289" t="str">
        <f t="shared" si="33"/>
        <v/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0" spans="1:15" x14ac:dyDescent="0.25">
      <c r="A290" s="80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8" t="s">
        <v>419</v>
      </c>
      <c r="N290" t="str">
        <f t="shared" si="33"/>
        <v/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1" spans="1:15" x14ac:dyDescent="0.25">
      <c r="A291" s="80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8" t="s">
        <v>419</v>
      </c>
      <c r="N291" t="str">
        <f t="shared" si="33"/>
        <v/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</v>
      </c>
    </row>
    <row r="292" spans="1:15" x14ac:dyDescent="0.25">
      <c r="A292" s="80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8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3" spans="1:15" x14ac:dyDescent="0.25">
      <c r="A293" s="80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8" t="s">
        <v>419</v>
      </c>
      <c r="N293" t="str">
        <f t="shared" si="33"/>
        <v/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4" spans="1:15" x14ac:dyDescent="0.25">
      <c r="A294" s="80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8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5" spans="1:15" x14ac:dyDescent="0.25">
      <c r="A295" s="80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8" t="s">
        <v>419</v>
      </c>
      <c r="N295" t="str">
        <f t="shared" si="33"/>
        <v/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6" spans="1:15" x14ac:dyDescent="0.25">
      <c r="A296" s="80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8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7" spans="1:15" x14ac:dyDescent="0.25">
      <c r="A297" s="80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8" t="s">
        <v>419</v>
      </c>
      <c r="N297" t="str">
        <f t="shared" si="33"/>
        <v/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8" spans="1:15" x14ac:dyDescent="0.25">
      <c r="A298" s="80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8" t="s">
        <v>419</v>
      </c>
      <c r="N298" t="str">
        <f t="shared" si="33"/>
        <v/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</v>
      </c>
    </row>
    <row r="299" spans="1:15" x14ac:dyDescent="0.25">
      <c r="A299" s="80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8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</v>
      </c>
    </row>
    <row r="300" spans="1:15" x14ac:dyDescent="0.25">
      <c r="A300" s="80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8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1" spans="1:15" x14ac:dyDescent="0.25">
      <c r="A301" s="80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8" t="s">
        <v>419</v>
      </c>
      <c r="N301" t="str">
        <f t="shared" si="33"/>
        <v/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2" spans="1:15" x14ac:dyDescent="0.25">
      <c r="A302" s="80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8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3" spans="1:15" x14ac:dyDescent="0.25">
      <c r="A303" s="80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8" t="s">
        <v>419</v>
      </c>
      <c r="N303" t="str">
        <f t="shared" si="33"/>
        <v/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4" spans="1:15" x14ac:dyDescent="0.25">
      <c r="A304" s="80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8" t="s">
        <v>419</v>
      </c>
      <c r="N304" t="str">
        <f t="shared" si="33"/>
        <v/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5" spans="1:15" x14ac:dyDescent="0.25">
      <c r="A305" s="80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8" t="s">
        <v>419</v>
      </c>
      <c r="N305" t="str">
        <f t="shared" si="33"/>
        <v/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6" spans="1:15" x14ac:dyDescent="0.25">
      <c r="A306" s="80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8" t="s">
        <v>419</v>
      </c>
      <c r="N306" t="str">
        <f t="shared" si="33"/>
        <v/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7" spans="1:15" x14ac:dyDescent="0.25">
      <c r="A307" s="80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8" t="s">
        <v>419</v>
      </c>
      <c r="N307" t="str">
        <f t="shared" si="33"/>
        <v/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8" spans="1:15" x14ac:dyDescent="0.25">
      <c r="A308" s="80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8" t="s">
        <v>419</v>
      </c>
      <c r="N308" t="str">
        <f t="shared" si="33"/>
        <v/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09" spans="1:15" x14ac:dyDescent="0.25">
      <c r="A309" s="80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8" t="s">
        <v>419</v>
      </c>
      <c r="N309" t="str">
        <f t="shared" si="33"/>
        <v/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0" spans="1:15" x14ac:dyDescent="0.25">
      <c r="A310" s="80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8" t="s">
        <v>419</v>
      </c>
      <c r="N310" t="str">
        <f t="shared" si="33"/>
        <v/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</v>
      </c>
    </row>
    <row r="311" spans="1:15" x14ac:dyDescent="0.25">
      <c r="A311" s="80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8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2" spans="1:15" x14ac:dyDescent="0.25">
      <c r="A312" s="80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8" t="s">
        <v>419</v>
      </c>
      <c r="N312" t="str">
        <f t="shared" si="33"/>
        <v/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3" spans="1:15" x14ac:dyDescent="0.25">
      <c r="A313" s="80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8" t="s">
        <v>419</v>
      </c>
      <c r="N313" t="str">
        <f t="shared" si="33"/>
        <v/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4" spans="1:15" x14ac:dyDescent="0.25">
      <c r="A314" s="80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8" t="s">
        <v>419</v>
      </c>
      <c r="N314" t="str">
        <f t="shared" si="33"/>
        <v/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5" spans="1:15" x14ac:dyDescent="0.25">
      <c r="A315" s="80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8" t="s">
        <v>419</v>
      </c>
      <c r="N315" t="str">
        <f t="shared" si="33"/>
        <v/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</v>
      </c>
    </row>
    <row r="316" spans="1:15" x14ac:dyDescent="0.25">
      <c r="A316" s="80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8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</v>
      </c>
    </row>
    <row r="317" spans="1:15" x14ac:dyDescent="0.25">
      <c r="A317" s="80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8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8" spans="1:15" x14ac:dyDescent="0.25">
      <c r="A318" s="80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8" t="s">
        <v>419</v>
      </c>
      <c r="N318" t="str">
        <f t="shared" si="33"/>
        <v/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19" spans="1:15" x14ac:dyDescent="0.25">
      <c r="A319" s="80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8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0" spans="1:15" x14ac:dyDescent="0.25">
      <c r="A320" s="80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8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1" spans="1:15" x14ac:dyDescent="0.25">
      <c r="A321" s="80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8" t="s">
        <v>419</v>
      </c>
      <c r="N321" t="str">
        <f t="shared" si="33"/>
        <v/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2" spans="1:15" x14ac:dyDescent="0.25">
      <c r="A322" s="80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8" t="s">
        <v>419</v>
      </c>
      <c r="N322" t="str">
        <f t="shared" si="33"/>
        <v/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3" spans="1:15" x14ac:dyDescent="0.25">
      <c r="A323" s="80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8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4" spans="1:15" x14ac:dyDescent="0.25">
      <c r="A324" s="80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8" t="s">
        <v>419</v>
      </c>
      <c r="N324" t="str">
        <f>IF(L324&lt;&gt;"",IF(M324="ΝΑΙ",K324&amp;" - "&amp;L324&amp;", ",""),"")</f>
        <v/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5" spans="1:15" x14ac:dyDescent="0.25">
      <c r="A325" s="80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8" t="s">
        <v>419</v>
      </c>
      <c r="N325" t="str">
        <f>IF(L325&lt;&gt;"",IF(M325="ΝΑΙ",K325&amp;" - "&amp;L325&amp;", ",""),"")</f>
        <v/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</v>
      </c>
    </row>
    <row r="326" spans="1:15" x14ac:dyDescent="0.25">
      <c r="A326" s="80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8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ΑΡΡΙΑΝΩΝ,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ΙΑΣΜΟΥ, ΑΝΑΤΟΛΙΚΗΣ ΜΑΚΕΔΟΝΙΑΣ ΚΑΙ ΘΡΑΚΗΣ - ΚΑΒΑΛΑΣ, ΑΝΑΤΟΛΙΚΗΣ ΜΑΚΕΔΟΝΙΑΣ ΚΑΙ ΘΡΑΚΗΣ - ΚΑΤΩ ΝΕΥΡΟΚΟΠΙΟΥ, ΑΝΑΤΟΛΙΚΗΣ ΜΑΚΕΔΟΝΙΑΣ ΚΑΙ ΘΡΑΚΗΣ - ΚΟΜΟΤΗΝΗΣ, ΑΝΑΤΟΛΙΚΗΣ ΜΑΚΕΔΟΝΙΑΣ ΚΑΙ ΘΡΑΚΗΣ - ΜΑΡΩΝΕΙΑΣ – ΣΑΠΩΝ, ΑΝΑΤΟΛΙΚΗΣ ΜΑΚΕΔΟΝΙΑΣ ΚΑΙ ΘΡΑΚΗΣ - ΜΥΚΗΣ,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ΠΑΡΑΝΕΣΤΙΟΥ, ΑΝΑΤΟΛΙΚΗΣ ΜΑΚΕΔΟΝΙΑΣ ΚΑΙ ΘΡΑΚΗΣ - ΠΡΟΣΟΤΣΑΝΗΣ, ΑΝΑΤΟΛΙΚΗΣ ΜΑΚΕΔΟΝΙΑΣ ΚΑΙ ΘΡΑΚΗΣ - ΣΟΥΦΛΙΟΥ, ΑΝΑΤΟΛΙΚΗΣ ΜΑΚΕΔΟΝΙΑΣ ΚΑΙ ΘΡΑΚΗΣ - ΤΟΠΕΙΡΟΥ,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ΦΙΛΑΔΕΛΦΕΙΑΣ – ΧΑΛΚΗΔΟΝΟΣ, ΑΤΤΙΚΗΣ - ΦΙΛΟΘΕΗΣ – ΨΥΧΙΚΟΥ, ΑΤΤΙΚΗΣ - ΦΥΛΗΣ, ΑΤΤΙΚΗΣ - ΧΑΪΔΑΡΙΟΥ, ΑΤΤΙΚΗΣ - ΧΑΛΑΝΔΡΙΟΥ, ΒΟΡΕΙΟΥ ΑΙΓΑΙΟΥ - ΙΚΑΡΙΑΣ, ΒΟΡΕΙΟΥ ΑΙΓΑΙΟΥ - ΛΕΣΒΟΥ, ΒΟΡΕΙΟΥ ΑΙΓΑΙΟΥ - ΛΗΜΝΟΥ, ΒΟΡΕΙΟΥ ΑΙΓΑΙΟΥ - ΣΑΜΟΥ, ΒΟΡΕΙΟΥ ΑΙΓΑΙΟΥ - ΧΙΟΥ, ΔΥΤΙΚΗΣ ΕΛΛΑΔΑΣ - ΑΓΡΙΝΙΟΥ, ΔΥΤΙΚΗΣ ΕΛΛΑΔΑΣ - ΑΙΓΙΑΛΕΙΑΣ, ΔΥΤΙΚΗΣ ΕΛΛΑΔΑΣ - ΗΛΙΔΑΣ, ΔΥΤΙΚΗΣ ΕΛΛΑΔΑΣ - ΠΑΤΡΕΩΝ, ΔΥΤΙΚΗΣ ΕΛΛΑΔΑΣ - ΠΥΡΓΟΥ, ΔΥΤΙΚΗΣ ΜΑΚΕΔΟΝΙΑΣ - ΓΡΕΒΕΝΩΝ, ΔΥΤΙΚΗΣ ΜΑΚΕΔΟΝΙΑΣ - ΕΟΡΔΑΙΑΣ, ΔΥΤΙΚΗΣ ΜΑΚΕΔΟΝΙΑΣ - ΚΑΣΤΟΡΙΑΣ, ΔΥΤΙΚΗΣ ΜΑΚΕΔΟΝΙΑΣ - ΚΟΖΑΝΗΣ, ΔΥΤΙΚΗΣ ΜΑΚΕΔΟΝΙΑΣ - ΦΛΩΡΙΝΑΣ, ΗΠΕΙΡΟΥ - ΑΡΤΑΙΩΝ, ΗΠΕΙΡΟΥ - ΗΓΟΥΜΕΝΙΤΣΑΣ, ΗΠΕΙΡΟΥ - ΙΩΑΝΝΙΤΩΝ, ΗΠΕΙΡΟΥ - ΜΕΤΣΟΒΟΥ, ΗΠΕΙΡΟΥ - ΠΡΕΒΕΖΑΣ, ΘΕΣΣΑΛΙΑΣ - ΑΛΜΥΡΟΥ, ΘΕΣΣΑΛΙΑΣ - ΒΟΛΟΥ, ΘΕΣΣΑΛΙΑΣ - ΚΑΡΔΙΤΣΑΣ, ΘΕΣΣΑΛΙΑΣ - ΛΑΡΙΣΑΙΩΝ, ΘΕΣΣΑΛΙΑΣ - ΤΡΙΚΚΑΙΩΝ, ΙΟΝΙΩΝ ΝΗΣΩΝ - ΖΑΚΥΝΘΟΥ, ΙΟΝΙΩΝ ΝΗΣΩΝ - ΚΕΡΚΥΡΑΣ, ΙΟΝΙΩΝ ΝΗΣΩΝ - ΚΕΦΑΛΟΝΙΑΣ, ΙΟΝΙΩΝ ΝΗΣΩΝ - ΛΕΥΚΑΔΑΣ, ΚΕΝΤΡΙΚΗΣ ΜΑΚΕΔΟΝΙΑΣ - ΑΜΠΕΛΟΚΗΠΩΝ – ΜΕΝΕΜΕΝΗΣ, ΚΕΝΤΡΙΚΗΣ ΜΑΚΕΔΟΝΙΑΣ - ΑΜΦΙΠΟΛΗΣ, ΚΕΝΤΡΙΚΗΣ ΜΑΚΕΔΟΝΙΑΣ - ΑΡΙΣΤΟΤΕΛΗ, ΚΕΝΤΡΙΚΗΣ ΜΑΚΕΔΟΝΙΑΣ - ΒΕΡΟΙΑΣ, ΚΕΝΤΡΙΚΗΣ ΜΑΚΕΔΟΝΙΑΣ - ΒΙΣΑΛΤΙΑΣ, ΚΕΝΤΡΙΚΗΣ ΜΑΚΕΔΟΝΙΑΣ - ΒΟΛΒΗΣ, ΚΕΝΤΡΙΚΗΣ ΜΑΚΕΔΟΝΙΑΣ - ΔΕΛΤΑ,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ΚΑΣΣΑΝΔΡΑΣ,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ΖΙΧΝΗΣ, ΚΕΝΤΡΙΚΗΣ ΜΑΚΕΔΟΝΙΑΣ - ΝΕΑΣ ΠΡΟΠΟΝΤΙΔΑΣ, ΚΕΝΤΡΙΚΗΣ ΜΑΚΕΔΟΝΙΑΣ - ΠΑΙΟΝΙΑΣ, ΚΕΝΤΡΙΚΗΣ ΜΑΚΕΔΟΝΙΑΣ - ΠΑΥΛΟΥ ΜΕΛΑ, ΚΕΝΤΡΙΚΗΣ ΜΑΚΕΔΟΝΙΑΣ - ΠΕΛΛΑΣ, ΚΕΝΤΡΙΚΗΣ ΜΑΚΕΔΟΝΙΑΣ - ΠΟΛΥΓΥΡΟΥ, ΚΕΝΤΡΙΚΗΣ ΜΑΚΕΔΟΝΙΑΣ - ΠΥΛΑΙΑΣ – ΧΟΡΤΙΑΤΗ, ΚΕΝΤΡΙΚΗΣ ΜΑΚΕΔΟΝΙΑΣ - ΣΕΡΡΩΝ, ΚΕΝΤΡΙΚΗΣ ΜΑΚΕΔΟΝΙΑΣ - ΣΙΘΩΝΙΑΣ, ΚΕΝΤΡΙΚΗΣ ΜΑΚΕΔΟΝΙΑΣ - ΣΙΝΤΙΚΗΣ, ΚΕΝΤΡΙΚΗΣ ΜΑΚΕΔΟΝΙΑΣ - ΧΑΛΚΗΔΟΝΟΣ, ΚΕΝΤΡΙΚΗΣ ΜΑΚΕΔΟΝΙΑΣ - ΩΡΑΙΟΚΑΣΤΡΟΥ, ΚΡΗΤΗΣ - ΑΓΙΟΥ ΝΙΚΟΛΑΟΥ, ΚΡΗΤΗΣ - ΗΡΑΚΛΕΙΟΥ, ΚΡΗΤΗΣ - ΙΕΡΑΠΕΤΡΑΣ, ΚΡΗΤΗΣ - ΡΕΘΥΜΝΗΣ, ΚΡΗΤΗΣ - ΣΗΤΕΙΑΣ, ΚΡΗΤΗΣ - ΧΑΝΙΩΝ, ΝΟΤΙΟΥ ΑΙΓΑΙΟΥ - ΚΑΛΥΜΝΙΩΝ, ΝΟΤΙΟΥ ΑΙΓΑΙΟΥ - ΚΑΡΠΑΘΟΥ, ΝΟΤΙΟΥ ΑΙΓΑΙΟΥ - ΚΩ, ΝΟΤΙΟΥ ΑΙΓΑΙΟΥ - ΛΕΡΟΥ, ΝΟΤΙΟΥ ΑΙΓΑΙΟΥ - ΜΥΚΟΝΟΥ, ΝΟΤΙΟΥ ΑΙΓΑΙΟΥ - ΠΑΤΜΟΥ, ΝΟΤΙΟΥ ΑΙΓΑΙΟΥ - ΡΟΔΟΥ, ΠΕΛΟΠΟΝΝΗΣΟΥ - ΑΡΓΟΥΣ – ΜΥΚΗΝΩΝ, ΠΕΛΟΠΟΝΝΗΣΟΥ - ΚΑΛΑΜΑΤΑΣ, ΠΕΛΟΠΟΝΝΗΣΟΥ - ΚΟΡΙΝΘΙΩΝ, ΠΕΛΟΠΟΝΝΗΣΟΥ - ΛΟΥΤΡΑΚΙΟΥ – ΑΓΙΩΝ ΘΕΟΔΩΡΩΝ, ΠΕΛΟΠΟΝΝΗΣΟΥ - ΝΑΥΠΛΙΕΩΝ, ΠΕΛΟΠΟΝΝΗΣΟΥ - ΣΠΑΡΤΗΣ, ΠΕΛΟΠΟΝΝΗΣΟΥ - ΤΡΙΠΟΛΗΣ, ΣΤΕΡΕΑΣ ΕΛΛΑΔΑΣ - ΘΗΒΑΙΩΝ, ΣΤΕΡΕΑΣ ΕΛΛΑΔΑΣ - ΛΑΜΙΕΩΝ, ΣΤΕΡΕΑΣ ΕΛΛΑΔΑΣ - ΛΕΒΑΔΕΩΝ, ΣΤΕΡΕΑΣ ΕΛΛΑΔΑΣ - ΧΑΛΚΙΔΕΩΝ, </v>
      </c>
    </row>
  </sheetData>
  <sheetProtection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RowHeight="15" x14ac:dyDescent="0.25"/>
  <cols>
    <col min="1" max="1" width="9.140625" style="138" customWidth="1"/>
    <col min="2" max="4" width="37.140625" style="138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8" customWidth="1"/>
    <col min="12" max="12" width="52.7109375" style="78" customWidth="1"/>
    <col min="13" max="13" width="58.28515625" style="78" customWidth="1"/>
    <col min="14" max="14" width="8.42578125" style="78" bestFit="1" customWidth="1"/>
    <col min="15" max="15" width="23.42578125" style="78" customWidth="1"/>
    <col min="16" max="16384" width="9.140625" style="138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>ΝΑΙ</v>
      </c>
      <c r="I4" t="str">
        <f>LOOKUP(B4,ΠΕΡΙΦΕΡΕΙΑ!$A$2:$A$14,ΠΕΡΙΦΕΡΕΙΑ!$B$2:$B$14)</f>
        <v>Μερική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>ΝΑΙ</v>
      </c>
      <c r="I9" t="str">
        <f>LOOKUP(B9,ΠΕΡΙΦΕΡΕΙΑ!$A$2:$A$14,ΠΕΡΙΦΕΡΕΙΑ!$B$2:$B$14)</f>
        <v>Μερική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>ΝΑΙ</v>
      </c>
      <c r="I11" t="str">
        <f>LOOKUP(B11,ΠΕΡΙΦΕΡΕΙΑ!$A$2:$A$14,ΠΕΡΙΦΕΡΕΙΑ!$B$2:$B$14)</f>
        <v>Μερική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>ΝΑΙ</v>
      </c>
      <c r="I13" t="str">
        <f>LOOKUP(B13,ΠΕΡΙΦΕΡΕΙΑ!$A$2:$A$14,ΠΕΡΙΦΕΡΕΙΑ!$B$2:$B$14)</f>
        <v>Μερική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>ΝΑΙ</v>
      </c>
      <c r="I14" t="str">
        <f>LOOKUP(B14,ΠΕΡΙΦΕΡΕΙΑ!$A$2:$A$14,ΠΕΡΙΦΕΡΕΙΑ!$B$2:$B$14)</f>
        <v>Μερική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>ΝΑΙ</v>
      </c>
      <c r="I19" t="str">
        <f>LOOKUP(B19,ΠΕΡΙΦΕΡΕΙΑ!$A$2:$A$14,ΠΕΡΙΦΕΡΕΙΑ!$B$2:$B$14)</f>
        <v>Μερική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21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ΣΟΥΦΛΙΟΥ</v>
      </c>
      <c r="N21">
        <f t="shared" si="4"/>
        <v>14478</v>
      </c>
      <c r="O21" t="str">
        <f t="shared" si="7"/>
        <v>Σουφλίου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22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ΤΟΠΕΙΡΟΥ</v>
      </c>
      <c r="N22">
        <f t="shared" si="4"/>
        <v>14500</v>
      </c>
      <c r="O22" t="str">
        <f t="shared" si="7"/>
        <v>Τοπείρου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>ΝΑΙ</v>
      </c>
      <c r="I23" t="str">
        <f>LOOKUP(B23,ΠΕΡΙΦΕΡΕΙΑ!$A$2:$A$14,ΠΕΡΙΦΕΡΕΙΑ!$B$2:$B$14)</f>
        <v>Μερική</v>
      </c>
      <c r="J23">
        <f t="shared" si="5"/>
        <v>22</v>
      </c>
      <c r="K23">
        <f t="shared" si="6"/>
        <v>23</v>
      </c>
      <c r="L23" t="str">
        <f t="shared" si="2"/>
        <v>ΑΤΤΙΚΗΣ</v>
      </c>
      <c r="M23" t="str">
        <f t="shared" si="3"/>
        <v>ΑΤΤΙΚΗΣ - ΑΓΙΑΣ ΒΑΡΒΑΡΑΣ</v>
      </c>
      <c r="N23">
        <f t="shared" si="4"/>
        <v>13922</v>
      </c>
      <c r="O23" t="str">
        <f t="shared" si="7"/>
        <v>Αγίας Βαρβάρας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24</v>
      </c>
      <c r="L24" t="str">
        <f t="shared" si="2"/>
        <v>ΑΤΤΙΚΗΣ</v>
      </c>
      <c r="M24" t="str">
        <f t="shared" si="3"/>
        <v>ΑΤΤΙΚΗΣ - ΑΓΙΑΣ ΠΑΡΑΣΚΕΥΗΣ</v>
      </c>
      <c r="N24">
        <f t="shared" si="4"/>
        <v>13924</v>
      </c>
      <c r="O24" t="str">
        <f t="shared" si="7"/>
        <v>Αγίας Παρασκευής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25</v>
      </c>
      <c r="L25" t="str">
        <f t="shared" si="2"/>
        <v>ΑΤΤΙΚΗΣ</v>
      </c>
      <c r="M25" t="str">
        <f t="shared" si="3"/>
        <v>ΑΤΤΙΚΗΣ - ΑΓΙΟΥ ΔΗΜΗΤΡΙΟΥ</v>
      </c>
      <c r="N25">
        <f t="shared" si="4"/>
        <v>13928</v>
      </c>
      <c r="O25" t="str">
        <f t="shared" si="7"/>
        <v>Αγίου Δημητρίου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26</v>
      </c>
      <c r="L26" t="str">
        <f t="shared" si="2"/>
        <v>ΑΤΤΙΚΗΣ</v>
      </c>
      <c r="M26" t="str">
        <f t="shared" si="3"/>
        <v>ΑΤΤΙΚΗΣ - ΑΓΙΩΝ ΑΝΑΡΓΥΡΩΝ – ΚΑΜΑΤΕΡΟΥ</v>
      </c>
      <c r="N26">
        <f t="shared" si="4"/>
        <v>13934</v>
      </c>
      <c r="O26" t="str">
        <f t="shared" si="7"/>
        <v>Αγίων Αναργύρων - Καματερού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28</v>
      </c>
      <c r="L27" t="str">
        <f t="shared" si="2"/>
        <v>ΑΤΤΙΚΗΣ</v>
      </c>
      <c r="M27" t="str">
        <f t="shared" si="3"/>
        <v>ΑΤΤΙΚΗΣ - ΑΘΗΝΑΙΩΝ</v>
      </c>
      <c r="N27">
        <f t="shared" si="4"/>
        <v>13946</v>
      </c>
      <c r="O27" t="str">
        <f t="shared" si="7"/>
        <v>Αθηναίων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29</v>
      </c>
      <c r="L28" t="str">
        <f t="shared" si="2"/>
        <v>ΑΤΤΙΚΗΣ</v>
      </c>
      <c r="M28" t="str">
        <f t="shared" si="3"/>
        <v>ΑΤΤΙΚΗΣ - ΑΙΓΑΛΕΩ</v>
      </c>
      <c r="N28">
        <f t="shared" si="4"/>
        <v>13948</v>
      </c>
      <c r="O28" t="str">
        <f t="shared" si="7"/>
        <v>Αιγάλεω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31</v>
      </c>
      <c r="L29" t="str">
        <f t="shared" si="2"/>
        <v>ΑΤΤΙΚΗΣ</v>
      </c>
      <c r="M29" t="str">
        <f t="shared" si="3"/>
        <v>ΑΤΤΙΚΗΣ - ΑΛΙΜΟΥ</v>
      </c>
      <c r="N29">
        <f t="shared" si="4"/>
        <v>13952</v>
      </c>
      <c r="O29" t="str">
        <f t="shared" si="7"/>
        <v>Αλίμου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32</v>
      </c>
      <c r="L30" t="str">
        <f t="shared" si="2"/>
        <v>ΑΤΤΙΚΗΣ</v>
      </c>
      <c r="M30" t="str">
        <f t="shared" si="3"/>
        <v>ΑΤΤΙΚΗΣ - ΑΜΑΡΟΥΣΙΟΥ</v>
      </c>
      <c r="N30">
        <f t="shared" si="4"/>
        <v>13968</v>
      </c>
      <c r="O30" t="str">
        <f t="shared" si="7"/>
        <v>Αμαρουσίου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Μερική</v>
      </c>
      <c r="J31" t="str">
        <f t="shared" si="5"/>
        <v/>
      </c>
      <c r="K31">
        <f t="shared" si="6"/>
        <v>33</v>
      </c>
      <c r="L31" t="str">
        <f t="shared" si="2"/>
        <v>ΑΤΤΙΚΗΣ</v>
      </c>
      <c r="M31" t="str">
        <f t="shared" si="3"/>
        <v>ΑΤΤΙΚΗΣ - ΑΣΠΡΟΠΥΡΓΟΥ</v>
      </c>
      <c r="N31">
        <f t="shared" si="4"/>
        <v>14008</v>
      </c>
      <c r="O31" t="str">
        <f t="shared" si="7"/>
        <v>Ασπροπύργου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34</v>
      </c>
      <c r="L32" t="str">
        <f t="shared" si="2"/>
        <v>ΑΤΤΙΚΗΣ</v>
      </c>
      <c r="M32" t="str">
        <f t="shared" si="3"/>
        <v>ΑΤΤΙΚΗΣ - ΑΧΑΡΝΩΝ</v>
      </c>
      <c r="N32">
        <f t="shared" si="4"/>
        <v>14012</v>
      </c>
      <c r="O32" t="str">
        <f t="shared" si="7"/>
        <v>Αχαρνών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35</v>
      </c>
      <c r="L33" t="str">
        <f t="shared" si="2"/>
        <v>ΑΤΤΙΚΗΣ</v>
      </c>
      <c r="M33" t="str">
        <f t="shared" si="3"/>
        <v>ΑΤΤΙΚΗΣ - ΒΑΡΗΣ – ΒΟΥΛΑΣ – ΒΟΥΛΙΑΓΜΕΝΗΣ</v>
      </c>
      <c r="N33">
        <f t="shared" si="4"/>
        <v>14014</v>
      </c>
      <c r="O33" t="str">
        <f t="shared" si="7"/>
        <v>Βάρης - Βούλας - Βουλιαγμένης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36</v>
      </c>
      <c r="L34" t="str">
        <f t="shared" si="2"/>
        <v>ΑΤΤΙΚΗΣ</v>
      </c>
      <c r="M34" t="str">
        <f t="shared" si="3"/>
        <v>ΑΤΤΙΚΗΣ - ΒΡΙΛΗΣΣΙΩΝ</v>
      </c>
      <c r="N34">
        <f t="shared" si="4"/>
        <v>14036</v>
      </c>
      <c r="O34" t="str">
        <f t="shared" si="7"/>
        <v>Βριλησσίων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37</v>
      </c>
      <c r="L35" t="str">
        <f t="shared" si="2"/>
        <v>ΑΤΤΙΚΗΣ</v>
      </c>
      <c r="M35" t="str">
        <f t="shared" si="3"/>
        <v>ΑΤΤΙΚΗΣ - ΒΥΡΩΝΟΣ</v>
      </c>
      <c r="N35">
        <f t="shared" si="4"/>
        <v>14026</v>
      </c>
      <c r="O35" t="str">
        <f t="shared" si="7"/>
        <v>Βύρωνος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38</v>
      </c>
      <c r="L36" t="str">
        <f t="shared" si="2"/>
        <v>ΑΤΤΙΚΗΣ</v>
      </c>
      <c r="M36" t="str">
        <f t="shared" si="3"/>
        <v>ΑΤΤΙΚΗΣ - ΓΑΛΑΤΣΙΟΥ</v>
      </c>
      <c r="N36">
        <f t="shared" si="4"/>
        <v>14042</v>
      </c>
      <c r="O36" t="str">
        <f t="shared" si="7"/>
        <v>Γαλατσίου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39</v>
      </c>
      <c r="L37" t="str">
        <f t="shared" si="2"/>
        <v>ΑΤΤΙΚΗΣ</v>
      </c>
      <c r="M37" t="str">
        <f t="shared" si="3"/>
        <v>ΑΤΤΙΚΗΣ - ΓΛΥΦΑΔΑΣ</v>
      </c>
      <c r="N37">
        <f t="shared" si="4"/>
        <v>14046</v>
      </c>
      <c r="O37" t="str">
        <f t="shared" si="7"/>
        <v>Γλυφάδας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40</v>
      </c>
      <c r="L38" t="str">
        <f t="shared" si="2"/>
        <v>ΑΤΤΙΚΗΣ</v>
      </c>
      <c r="M38" t="str">
        <f t="shared" si="3"/>
        <v>ΑΤΤΙΚΗΣ - ΔΑΦΝΗΣ – ΥΜΗΤΤΟΥ</v>
      </c>
      <c r="N38">
        <f t="shared" si="4"/>
        <v>14052</v>
      </c>
      <c r="O38" t="str">
        <f t="shared" si="7"/>
        <v>Δάφνης - Υμηττού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41</v>
      </c>
      <c r="L39" t="str">
        <f t="shared" si="2"/>
        <v>ΑΤΤΙΚΗΣ</v>
      </c>
      <c r="M39" t="str">
        <f t="shared" si="3"/>
        <v>ΑΤΤΙΚΗΣ - ΔΙΟΝΥΣΟΥ</v>
      </c>
      <c r="N39">
        <f t="shared" si="4"/>
        <v>14064</v>
      </c>
      <c r="O39" t="str">
        <f t="shared" si="7"/>
        <v>Διονύσου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42</v>
      </c>
      <c r="L40" t="str">
        <f t="shared" si="2"/>
        <v>ΑΤΤΙΚΗΣ</v>
      </c>
      <c r="M40" t="str">
        <f t="shared" si="3"/>
        <v>ΑΤΤΙΚΗΣ - ΕΛΕΥΣΙΝΑΣ</v>
      </c>
      <c r="N40">
        <f t="shared" si="4"/>
        <v>14088</v>
      </c>
      <c r="O40" t="str">
        <f t="shared" si="7"/>
        <v>Ελευσίνας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43</v>
      </c>
      <c r="L41" t="str">
        <f t="shared" si="2"/>
        <v>ΑΤΤΙΚΗΣ</v>
      </c>
      <c r="M41" t="str">
        <f t="shared" si="3"/>
        <v>ΑΤΤΙΚΗΣ - ΕΛΛΗΝΙΚΟΥ – ΑΡΓΥΡΟΥΠΟΛΗΣ</v>
      </c>
      <c r="N41">
        <f t="shared" si="4"/>
        <v>14090</v>
      </c>
      <c r="O41" t="str">
        <f t="shared" si="7"/>
        <v>Ελληνικού - Αργυρούπολης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44</v>
      </c>
      <c r="L42" t="str">
        <f t="shared" si="2"/>
        <v>ΑΤΤΙΚΗΣ</v>
      </c>
      <c r="M42" t="str">
        <f t="shared" si="3"/>
        <v>ΑΤΤΙΚΗΣ - ΖΩΓΡΑΦΟΥ</v>
      </c>
      <c r="N42">
        <f t="shared" si="4"/>
        <v>14118</v>
      </c>
      <c r="O42" t="str">
        <f t="shared" si="7"/>
        <v>Ζωγράφου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45</v>
      </c>
      <c r="L43" t="str">
        <f t="shared" si="2"/>
        <v>ΑΤΤΙΚΗΣ</v>
      </c>
      <c r="M43" t="str">
        <f t="shared" si="3"/>
        <v>ΑΤΤΙΚΗΣ - ΗΛΙΟΥΠΟΛΕΩΣ</v>
      </c>
      <c r="N43">
        <f t="shared" si="4"/>
        <v>14122</v>
      </c>
      <c r="O43" t="str">
        <f t="shared" si="7"/>
        <v>Ηλιούπολης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46</v>
      </c>
      <c r="L44" t="str">
        <f t="shared" si="2"/>
        <v>ΑΤΤΙΚΗΣ</v>
      </c>
      <c r="M44" t="str">
        <f t="shared" si="3"/>
        <v>ΑΤΤΙΚΗΣ - ΗΡΑΚΛΕΙΟΥ</v>
      </c>
      <c r="N44">
        <f t="shared" si="4"/>
        <v>21230</v>
      </c>
      <c r="O44" t="str">
        <f t="shared" si="7"/>
        <v>Ηρακλείου Αττικής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47</v>
      </c>
      <c r="L45" t="str">
        <f t="shared" si="2"/>
        <v>ΑΤΤΙΚΗΣ</v>
      </c>
      <c r="M45" t="str">
        <f t="shared" si="3"/>
        <v>ΑΤΤΙΚΗΣ - ΙΛΙΟΥ</v>
      </c>
      <c r="N45">
        <f t="shared" si="4"/>
        <v>14154</v>
      </c>
      <c r="O45" t="str">
        <f t="shared" si="7"/>
        <v>Ιλίου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48</v>
      </c>
      <c r="L46" t="str">
        <f t="shared" si="2"/>
        <v>ΑΤΤΙΚΗΣ</v>
      </c>
      <c r="M46" t="str">
        <f t="shared" si="3"/>
        <v>ΑΤΤΙΚΗΣ - ΚΑΙΣΑΡΙΑΝΗΣ</v>
      </c>
      <c r="N46">
        <f t="shared" si="4"/>
        <v>14176</v>
      </c>
      <c r="O46" t="str">
        <f t="shared" si="7"/>
        <v>Καισαριανής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49</v>
      </c>
      <c r="L47" t="str">
        <f t="shared" si="2"/>
        <v>ΑΤΤΙΚΗΣ</v>
      </c>
      <c r="M47" t="str">
        <f t="shared" si="3"/>
        <v>ΑΤΤΙΚΗΣ - ΚΑΛΛΙΘΕΑΣ</v>
      </c>
      <c r="N47">
        <f t="shared" si="4"/>
        <v>14186</v>
      </c>
      <c r="O47" t="str">
        <f t="shared" si="7"/>
        <v>Καλλιθέας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50</v>
      </c>
      <c r="L48" t="str">
        <f t="shared" si="2"/>
        <v>ΑΤΤΙΚΗΣ</v>
      </c>
      <c r="M48" t="str">
        <f t="shared" si="3"/>
        <v>ΑΤΤΙΚΗΣ - ΚΕΡΑΤΣΙΝΙΟΥ – ΔΡΑΠΕΤΣΩΝΑΣ</v>
      </c>
      <c r="N48">
        <f t="shared" si="4"/>
        <v>14208</v>
      </c>
      <c r="O48" t="str">
        <f t="shared" si="7"/>
        <v>Κερατσινίου - Δραπετσώνας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51</v>
      </c>
      <c r="L49" t="str">
        <f t="shared" si="2"/>
        <v>ΑΤΤΙΚΗΣ</v>
      </c>
      <c r="M49" t="str">
        <f t="shared" si="3"/>
        <v>ΑΤΤΙΚΗΣ - ΚΗΦΙΣΙΑΣ</v>
      </c>
      <c r="N49">
        <f t="shared" si="4"/>
        <v>14212</v>
      </c>
      <c r="O49" t="str">
        <f t="shared" si="7"/>
        <v>Κηφισιάς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52</v>
      </c>
      <c r="L50" t="str">
        <f t="shared" si="2"/>
        <v>ΑΤΤΙΚΗΣ</v>
      </c>
      <c r="M50" t="str">
        <f t="shared" si="3"/>
        <v>ΑΤΤΙΚΗΣ - ΚΟΡΥΔΑΛΛΟΥ</v>
      </c>
      <c r="N50">
        <f t="shared" si="4"/>
        <v>14230</v>
      </c>
      <c r="O50" t="str">
        <f t="shared" si="7"/>
        <v>Κορυδαλλού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53</v>
      </c>
      <c r="L51" t="str">
        <f t="shared" si="2"/>
        <v>ΑΤΤΙΚΗΣ</v>
      </c>
      <c r="M51" t="str">
        <f t="shared" si="3"/>
        <v>ΑΤΤΙΚΗΣ - ΚΡΩΠΙΑΣ</v>
      </c>
      <c r="N51">
        <f t="shared" si="4"/>
        <v>14232</v>
      </c>
      <c r="O51" t="str">
        <f t="shared" si="7"/>
        <v>Κρωπίας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55</v>
      </c>
      <c r="L52" t="str">
        <f t="shared" si="2"/>
        <v>ΑΤΤΙΚΗΣ</v>
      </c>
      <c r="M52" t="str">
        <f t="shared" si="3"/>
        <v>ΑΤΤΙΚΗΣ - ΛΑΥΡΕΩΤΙΚΗΣ</v>
      </c>
      <c r="N52">
        <f t="shared" si="4"/>
        <v>14252</v>
      </c>
      <c r="O52" t="str">
        <f t="shared" si="7"/>
        <v>Λαυρεωτικής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56</v>
      </c>
      <c r="L53" t="str">
        <f t="shared" si="2"/>
        <v>ΑΤΤΙΚΗΣ</v>
      </c>
      <c r="M53" t="str">
        <f t="shared" si="3"/>
        <v>ΑΤΤΙΚΗΣ - ΛΥΚΟΒΡΥΣΗΣ – ΠΕΥΚΗΣ</v>
      </c>
      <c r="N53">
        <f t="shared" si="4"/>
        <v>14264</v>
      </c>
      <c r="O53" t="str">
        <f t="shared" si="7"/>
        <v>Λυκόβρυσης - Πεύκης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57</v>
      </c>
      <c r="L54" t="str">
        <f t="shared" si="2"/>
        <v>ΑΤΤΙΚΗΣ</v>
      </c>
      <c r="M54" t="str">
        <f t="shared" si="3"/>
        <v>ΑΤΤΙΚΗΣ - ΜΑΝΔΡΑΣ – ΕΙΔΥΛΛΙΑΣ</v>
      </c>
      <c r="N54">
        <f t="shared" si="4"/>
        <v>14266</v>
      </c>
      <c r="O54" t="str">
        <f t="shared" si="7"/>
        <v>Μάνδρας - Ειδυλλίας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58</v>
      </c>
      <c r="L55" t="str">
        <f t="shared" si="2"/>
        <v>ΑΤΤΙΚΗΣ</v>
      </c>
      <c r="M55" t="str">
        <f t="shared" si="3"/>
        <v>ΑΤΤΙΚΗΣ - ΜΑΡΑΘΩΝΟΣ</v>
      </c>
      <c r="N55">
        <f t="shared" si="4"/>
        <v>14280</v>
      </c>
      <c r="O55" t="str">
        <f t="shared" si="7"/>
        <v>Μαραθώνος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59</v>
      </c>
      <c r="L56" t="str">
        <f t="shared" si="2"/>
        <v>ΑΤΤΙΚΗΣ</v>
      </c>
      <c r="M56" t="str">
        <f t="shared" si="3"/>
        <v>ΑΤΤΙΚΗΣ - ΜΑΡΚΟΠΟΥΛΟΥ ΜΕΣΟΓΑΙΑΣ</v>
      </c>
      <c r="N56">
        <f t="shared" si="4"/>
        <v>14282</v>
      </c>
      <c r="O56" t="str">
        <f t="shared" si="7"/>
        <v>Μαρκοπούλου Μεσογαίας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60</v>
      </c>
      <c r="L57" t="str">
        <f t="shared" si="2"/>
        <v>ΑΤΤΙΚΗΣ</v>
      </c>
      <c r="M57" t="str">
        <f t="shared" si="3"/>
        <v>ΑΤΤΙΚΗΣ - ΜΕΓΑΡΕΩΝ</v>
      </c>
      <c r="N57">
        <f t="shared" si="4"/>
        <v>14292</v>
      </c>
      <c r="O57" t="str">
        <f t="shared" si="7"/>
        <v>Μεγαρέων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61</v>
      </c>
      <c r="L58" t="str">
        <f t="shared" si="2"/>
        <v>ΑΤΤΙΚΗΣ</v>
      </c>
      <c r="M58" t="str">
        <f t="shared" si="3"/>
        <v>ΑΤΤΙΚΗΣ - ΜΕΤΑΜΟΡΦΩΣΕΩΣ</v>
      </c>
      <c r="N58">
        <f t="shared" si="4"/>
        <v>14296</v>
      </c>
      <c r="O58" t="str">
        <f t="shared" si="7"/>
        <v>Μεταμορφώσεως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62</v>
      </c>
      <c r="L59" t="str">
        <f t="shared" si="2"/>
        <v>ΑΤΤΙΚΗΣ</v>
      </c>
      <c r="M59" t="str">
        <f t="shared" si="3"/>
        <v>ΑΤΤΙΚΗΣ - ΜΟΣΧΑΤΟΥ – ΤΑΥΡΟΥ</v>
      </c>
      <c r="N59">
        <f t="shared" si="4"/>
        <v>14304</v>
      </c>
      <c r="O59" t="str">
        <f t="shared" si="7"/>
        <v>Μοσχάτου - Ταύρου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63</v>
      </c>
      <c r="L60" t="str">
        <f t="shared" si="2"/>
        <v>ΑΤΤΙΚΗΣ</v>
      </c>
      <c r="M60" t="str">
        <f t="shared" si="3"/>
        <v>ΑΤΤΙΚΗΣ - ΝΕΑΣ ΙΩΝΙΑΣ</v>
      </c>
      <c r="N60">
        <f t="shared" si="4"/>
        <v>14320</v>
      </c>
      <c r="O60" t="str">
        <f t="shared" si="7"/>
        <v>Νέας Ιωνίας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64</v>
      </c>
      <c r="L61" t="str">
        <f t="shared" si="2"/>
        <v>ΑΤΤΙΚΗΣ</v>
      </c>
      <c r="M61" t="str">
        <f t="shared" si="3"/>
        <v>ΑΤΤΙΚΗΣ - ΝΕΑΣ ΣΜΥΡΝΗΣ</v>
      </c>
      <c r="N61">
        <f t="shared" si="4"/>
        <v>14324</v>
      </c>
      <c r="O61" t="str">
        <f t="shared" si="7"/>
        <v>Νέας Σμύρνης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65</v>
      </c>
      <c r="L62" t="str">
        <f t="shared" si="2"/>
        <v>ΑΤΤΙΚΗΣ</v>
      </c>
      <c r="M62" t="str">
        <f t="shared" si="3"/>
        <v>ΑΤΤΙΚΗΣ - ΝΙΚΑΙΑΣ – ΑΓΙΟΥ ΙΩΑΝΝΗ ΡΕΝΤΗ</v>
      </c>
      <c r="N62">
        <f t="shared" si="4"/>
        <v>14328</v>
      </c>
      <c r="O62" t="str">
        <f t="shared" si="7"/>
        <v>Νίκαιας - Αγίου Ι. Ρέντη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66</v>
      </c>
      <c r="L63" t="str">
        <f t="shared" si="2"/>
        <v>ΑΤΤΙΚΗΣ</v>
      </c>
      <c r="M63" t="str">
        <f t="shared" si="3"/>
        <v>ΑΤΤΙΚΗΣ - ΠΑΙΑΝΙΑΣ</v>
      </c>
      <c r="N63">
        <f t="shared" si="4"/>
        <v>14386</v>
      </c>
      <c r="O63" t="str">
        <f t="shared" si="7"/>
        <v>Παιανίας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67</v>
      </c>
      <c r="L64" t="str">
        <f t="shared" si="2"/>
        <v>ΑΤΤΙΚΗΣ</v>
      </c>
      <c r="M64" t="str">
        <f t="shared" si="3"/>
        <v>ΑΤΤΙΚΗΣ - ΠΑΛΑΙΟΥ ΦΑΛΗΡΟΥ</v>
      </c>
      <c r="N64">
        <f t="shared" si="4"/>
        <v>14390</v>
      </c>
      <c r="O64" t="str">
        <f t="shared" si="7"/>
        <v>Παλαιού Φαλήρου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68</v>
      </c>
      <c r="L65" t="str">
        <f t="shared" si="2"/>
        <v>ΑΤΤΙΚΗΣ</v>
      </c>
      <c r="M65" t="str">
        <f t="shared" si="3"/>
        <v>ΑΤΤΙΚΗΣ - ΠΑΛΛΗΝΗΣ</v>
      </c>
      <c r="N65">
        <f t="shared" si="4"/>
        <v>14394</v>
      </c>
      <c r="O65" t="str">
        <f t="shared" si="7"/>
        <v>Παλλήνης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69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ΠΑΠΑΓΟΥ – ΧΟΛΑΡΓΟΥ</v>
      </c>
      <c r="N66">
        <f t="shared" si="4"/>
        <v>14398</v>
      </c>
      <c r="O66" t="str">
        <f t="shared" si="7"/>
        <v>Παπάγου - Χολαργού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70</v>
      </c>
      <c r="L67" t="str">
        <f t="shared" si="10"/>
        <v>ΑΤΤΙΚΗΣ</v>
      </c>
      <c r="M67" t="str">
        <f t="shared" si="11"/>
        <v>ΑΤΤΙΚΗΣ - ΠΕΙΡΑΙΩΣ</v>
      </c>
      <c r="N67">
        <f t="shared" ref="N67:N130" si="14">IF(ISNUMBER(K67),LOOKUP(K67,A:A,G:G),"")</f>
        <v>14404</v>
      </c>
      <c r="O67" t="str">
        <f t="shared" ref="O67:O130" si="15">IF(ISNUMBER(K67),LOOKUP(K67,A:A,F:F),"")</f>
        <v>Πειραιώς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71</v>
      </c>
      <c r="L68" t="str">
        <f t="shared" si="10"/>
        <v>ΑΤΤΙΚΗΣ</v>
      </c>
      <c r="M68" t="str">
        <f t="shared" si="11"/>
        <v>ΑΤΤΙΚΗΣ - ΠΕΝΤΕΛΗΣ</v>
      </c>
      <c r="N68">
        <f t="shared" si="14"/>
        <v>14406</v>
      </c>
      <c r="O68" t="str">
        <f t="shared" si="15"/>
        <v>Πεντέλης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72</v>
      </c>
      <c r="L69" t="str">
        <f t="shared" si="10"/>
        <v>ΑΤΤΙΚΗΣ</v>
      </c>
      <c r="M69" t="str">
        <f t="shared" si="11"/>
        <v>ΑΤΤΙΚΗΣ - ΠΕΡΑΜΑΤΟΣ</v>
      </c>
      <c r="N69">
        <f t="shared" si="14"/>
        <v>14408</v>
      </c>
      <c r="O69" t="str">
        <f t="shared" si="15"/>
        <v>Περάματος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73</v>
      </c>
      <c r="L70" t="str">
        <f t="shared" si="10"/>
        <v>ΑΤΤΙΚΗΣ</v>
      </c>
      <c r="M70" t="str">
        <f t="shared" si="11"/>
        <v>ΑΤΤΙΚΗΣ - ΠΕΡΙΣΤΕΡΙΟΥ</v>
      </c>
      <c r="N70">
        <f t="shared" si="14"/>
        <v>14410</v>
      </c>
      <c r="O70" t="str">
        <f t="shared" si="15"/>
        <v>Περιστερίου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74</v>
      </c>
      <c r="L71" t="str">
        <f t="shared" si="10"/>
        <v>ΑΤΤΙΚΗΣ</v>
      </c>
      <c r="M71" t="str">
        <f t="shared" si="11"/>
        <v>ΑΤΤΙΚΗΣ - ΠΕΤΡΟΥΠΟΛΕΩΣ</v>
      </c>
      <c r="N71">
        <f t="shared" si="14"/>
        <v>14412</v>
      </c>
      <c r="O71" t="str">
        <f t="shared" si="15"/>
        <v>Πετρούπολης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76</v>
      </c>
      <c r="L72" t="str">
        <f t="shared" si="10"/>
        <v>ΑΤΤΙΚΗΣ</v>
      </c>
      <c r="M72" t="str">
        <f t="shared" si="11"/>
        <v>ΑΤΤΙΚΗΣ - ΡΑΦΗΝΑΣ – ΠΙΚΕΡΜΙΟΥ</v>
      </c>
      <c r="N72">
        <f t="shared" si="14"/>
        <v>14434</v>
      </c>
      <c r="O72" t="str">
        <f t="shared" si="15"/>
        <v>Ραφήνας - Πικερμίου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77</v>
      </c>
      <c r="L73" t="str">
        <f t="shared" si="10"/>
        <v>ΑΤΤΙΚΗΣ</v>
      </c>
      <c r="M73" t="str">
        <f t="shared" si="11"/>
        <v>ΑΤΤΙΚΗΣ - ΣΑΛΑΜΙΝΟΣ</v>
      </c>
      <c r="N73">
        <f t="shared" si="14"/>
        <v>14446</v>
      </c>
      <c r="O73" t="str">
        <f t="shared" si="15"/>
        <v>Σαλαμίνας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78</v>
      </c>
      <c r="L74" t="str">
        <f t="shared" si="10"/>
        <v>ΑΤΤΙΚΗΣ</v>
      </c>
      <c r="M74" t="str">
        <f t="shared" si="11"/>
        <v>ΑΤΤΙΚΗΣ - ΣΑΡΩΝΙΚΟΥ</v>
      </c>
      <c r="N74">
        <f t="shared" si="14"/>
        <v>14450</v>
      </c>
      <c r="O74" t="str">
        <f t="shared" si="15"/>
        <v>Σαρωνικού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79</v>
      </c>
      <c r="L75" t="str">
        <f t="shared" si="10"/>
        <v>ΑΤΤΙΚΗΣ</v>
      </c>
      <c r="M75" t="str">
        <f t="shared" si="11"/>
        <v>ΑΤΤΙΚΗΣ - ΣΠΑΤΩΝ – ΑΡΤΕΜΙΔΟΣ</v>
      </c>
      <c r="N75">
        <f t="shared" si="14"/>
        <v>14484</v>
      </c>
      <c r="O75" t="str">
        <f t="shared" si="15"/>
        <v>Σπάτων - Αρτέμιδος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83</v>
      </c>
      <c r="L76" t="str">
        <f t="shared" si="10"/>
        <v>ΑΤΤΙΚΗΣ</v>
      </c>
      <c r="M76" t="str">
        <f t="shared" si="11"/>
        <v>ΑΤΤΙΚΗΣ - ΦΙΛΑΔΕΛΦΕΙΑΣ – ΧΑΛΚΗΔΟΝΟΣ</v>
      </c>
      <c r="N76">
        <f t="shared" si="14"/>
        <v>14518</v>
      </c>
      <c r="O76" t="str">
        <f t="shared" si="15"/>
        <v>Φιλαδελφείας - Χαλκηδόνος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84</v>
      </c>
      <c r="L77" t="str">
        <f t="shared" si="10"/>
        <v>ΑΤΤΙΚΗΣ</v>
      </c>
      <c r="M77" t="str">
        <f t="shared" si="11"/>
        <v>ΑΤΤΙΚΗΣ - ΦΙΛΟΘΕΗΣ – ΨΥΧΙΚΟΥ</v>
      </c>
      <c r="N77">
        <f t="shared" si="14"/>
        <v>14522</v>
      </c>
      <c r="O77" t="str">
        <f t="shared" si="15"/>
        <v>Φιλοθέης - Ψυχικού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85</v>
      </c>
      <c r="L78" t="str">
        <f t="shared" si="10"/>
        <v>ΑΤΤΙΚΗΣ</v>
      </c>
      <c r="M78" t="str">
        <f t="shared" si="11"/>
        <v>ΑΤΤΙΚΗΣ - ΦΥΛΗΣ</v>
      </c>
      <c r="N78">
        <f t="shared" si="14"/>
        <v>14530</v>
      </c>
      <c r="O78" t="str">
        <f t="shared" si="15"/>
        <v>Φυλής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86</v>
      </c>
      <c r="L79" t="str">
        <f t="shared" si="10"/>
        <v>ΑΤΤΙΚΗΣ</v>
      </c>
      <c r="M79" t="str">
        <f t="shared" si="11"/>
        <v>ΑΤΤΙΚΗΣ - ΧΑΪΔΑΡΙΟΥ</v>
      </c>
      <c r="N79">
        <f t="shared" si="14"/>
        <v>14544</v>
      </c>
      <c r="O79" t="str">
        <f t="shared" si="15"/>
        <v>Χαϊδαρίου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87</v>
      </c>
      <c r="L80" t="str">
        <f t="shared" si="10"/>
        <v>ΑΤΤΙΚΗΣ</v>
      </c>
      <c r="M80" t="str">
        <f t="shared" si="11"/>
        <v>ΑΤΤΙΚΗΣ - ΧΑΛΑΝΔΡΙΟΥ</v>
      </c>
      <c r="N80">
        <f t="shared" si="14"/>
        <v>14536</v>
      </c>
      <c r="O80" t="str">
        <f t="shared" si="15"/>
        <v>Χαλανδρίου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90</v>
      </c>
      <c r="L81" t="str">
        <f t="shared" si="10"/>
        <v>ΒΟΡΕΙΟΥ ΑΙΓΑΙΟΥ</v>
      </c>
      <c r="M81" t="str">
        <f t="shared" si="11"/>
        <v>ΒΟΡΕΙΟΥ ΑΙΓΑΙΟΥ - ΙΚΑΡΙΑΣ</v>
      </c>
      <c r="N81">
        <f t="shared" si="14"/>
        <v>14152</v>
      </c>
      <c r="O81" t="str">
        <f t="shared" si="15"/>
        <v>Ικαρίας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Μερική</v>
      </c>
      <c r="J82" t="str">
        <f t="shared" si="12"/>
        <v/>
      </c>
      <c r="K82">
        <f t="shared" si="13"/>
        <v>91</v>
      </c>
      <c r="L82" t="str">
        <f t="shared" si="10"/>
        <v>ΒΟΡΕΙΟΥ ΑΙΓΑΙΟΥ</v>
      </c>
      <c r="M82" t="str">
        <f t="shared" si="11"/>
        <v>ΒΟΡΕΙΟΥ ΑΙΓΑΙΟΥ - ΛΕΣΒΟΥ</v>
      </c>
      <c r="N82">
        <f t="shared" si="14"/>
        <v>14240</v>
      </c>
      <c r="O82" t="str">
        <f t="shared" si="15"/>
        <v>Λέσβου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Μερική</v>
      </c>
      <c r="J83" t="str">
        <f t="shared" si="12"/>
        <v/>
      </c>
      <c r="K83">
        <f t="shared" si="13"/>
        <v>92</v>
      </c>
      <c r="L83" t="str">
        <f t="shared" si="10"/>
        <v>ΒΟΡΕΙΟΥ ΑΙΓΑΙΟΥ</v>
      </c>
      <c r="M83" t="str">
        <f t="shared" si="11"/>
        <v>ΒΟΡΕΙΟΥ ΑΙΓΑΙΟΥ - ΛΗΜΝΟΥ</v>
      </c>
      <c r="N83">
        <f t="shared" si="14"/>
        <v>14242</v>
      </c>
      <c r="O83" t="str">
        <f t="shared" si="15"/>
        <v>Λήμνου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94</v>
      </c>
      <c r="L84" t="str">
        <f t="shared" si="10"/>
        <v>ΒΟΡΕΙΟΥ ΑΙΓΑΙΟΥ</v>
      </c>
      <c r="M84" t="str">
        <f t="shared" si="11"/>
        <v>ΒΟΡΕΙΟΥ ΑΙΓΑΙΟΥ - ΣΑΜΟΥ</v>
      </c>
      <c r="N84">
        <f t="shared" si="14"/>
        <v>14438</v>
      </c>
      <c r="O84" t="str">
        <f t="shared" si="15"/>
        <v>Σάμου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96</v>
      </c>
      <c r="L85" t="str">
        <f t="shared" si="10"/>
        <v>ΒΟΡΕΙΟΥ ΑΙΓΑΙΟΥ</v>
      </c>
      <c r="M85" t="str">
        <f t="shared" si="11"/>
        <v>ΒΟΡΕΙΟΥ ΑΙΓΑΙΟΥ - ΧΙΟΥ</v>
      </c>
      <c r="N85">
        <f t="shared" si="14"/>
        <v>14534</v>
      </c>
      <c r="O85" t="str">
        <f t="shared" si="15"/>
        <v>Χίου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98</v>
      </c>
      <c r="L86" t="str">
        <f t="shared" si="10"/>
        <v>ΔΥΤΙΚΗΣ ΕΛΛΑΔΑΣ</v>
      </c>
      <c r="M86" t="str">
        <f t="shared" si="11"/>
        <v>ΔΥΤΙΚΗΣ ΕΛΛΑΔΑΣ - ΑΓΡΙΝΙΟΥ</v>
      </c>
      <c r="N86">
        <f t="shared" si="14"/>
        <v>13944</v>
      </c>
      <c r="O86" t="str">
        <f t="shared" si="15"/>
        <v>Αγρινίου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99</v>
      </c>
      <c r="L87" t="str">
        <f t="shared" si="10"/>
        <v>ΔΥΤΙΚΗΣ ΕΛΛΑΔΑΣ</v>
      </c>
      <c r="M87" t="str">
        <f t="shared" si="11"/>
        <v>ΔΥΤΙΚΗΣ ΕΛΛΑΔΑΣ - ΑΙΓΙΑΛΕΙΑΣ</v>
      </c>
      <c r="N87">
        <f t="shared" si="14"/>
        <v>13950</v>
      </c>
      <c r="O87" t="str">
        <f t="shared" si="15"/>
        <v>Αιγιαλείας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108</v>
      </c>
      <c r="L88" t="str">
        <f t="shared" si="10"/>
        <v>ΔΥΤΙΚΗΣ ΕΛΛΑΔΑΣ</v>
      </c>
      <c r="M88" t="str">
        <f t="shared" si="11"/>
        <v>ΔΥΤΙΚΗΣ ΕΛΛΑΔΑΣ - ΗΛΙΔΑΣ</v>
      </c>
      <c r="N88">
        <f t="shared" si="14"/>
        <v>13914</v>
      </c>
      <c r="O88" t="str">
        <f t="shared" si="15"/>
        <v>Ήλιδας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Μερική</v>
      </c>
      <c r="J89" t="str">
        <f t="shared" si="12"/>
        <v/>
      </c>
      <c r="K89">
        <f t="shared" si="13"/>
        <v>114</v>
      </c>
      <c r="L89" t="str">
        <f t="shared" si="10"/>
        <v>ΔΥΤΙΚΗΣ ΕΛΛΑΔΑΣ</v>
      </c>
      <c r="M89" t="str">
        <f t="shared" si="11"/>
        <v>ΔΥΤΙΚΗΣ ΕΛΛΑΔΑΣ - ΠΑΤΡΕΩΝ</v>
      </c>
      <c r="N89">
        <f t="shared" si="14"/>
        <v>14402</v>
      </c>
      <c r="O89" t="str">
        <f t="shared" si="15"/>
        <v>Πατρέων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116</v>
      </c>
      <c r="L90" t="str">
        <f t="shared" si="10"/>
        <v>ΔΥΤΙΚΗΣ ΕΛΛΑΔΑΣ</v>
      </c>
      <c r="M90" t="str">
        <f t="shared" si="11"/>
        <v>ΔΥΤΙΚΗΣ ΕΛΛΑΔΑΣ - ΠΥΡΓΟΥ</v>
      </c>
      <c r="N90">
        <f t="shared" si="14"/>
        <v>14380</v>
      </c>
      <c r="O90" t="str">
        <f t="shared" si="15"/>
        <v>Πύργου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119</v>
      </c>
      <c r="L91" t="str">
        <f t="shared" si="10"/>
        <v>ΔΥΤΙΚΗΣ ΜΑΚΕΔΟΝΙΑΣ</v>
      </c>
      <c r="M91" t="str">
        <f t="shared" si="11"/>
        <v>ΔΥΤΙΚΗΣ ΜΑΚΕΔΟΝΙΑΣ - ΓΡΕΒΕΝΩΝ</v>
      </c>
      <c r="N91">
        <f t="shared" si="14"/>
        <v>14050</v>
      </c>
      <c r="O91" t="str">
        <f t="shared" si="15"/>
        <v>Γρεβενών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121</v>
      </c>
      <c r="L92" t="str">
        <f t="shared" si="10"/>
        <v>ΔΥΤΙΚΗΣ ΜΑΚΕΔΟΝΙΑΣ</v>
      </c>
      <c r="M92" t="str">
        <f t="shared" si="11"/>
        <v>ΔΥΤΙΚΗΣ ΜΑΚΕΔΟΝΙΑΣ - ΕΟΡΔΑΙΑΣ</v>
      </c>
      <c r="N92">
        <f t="shared" si="14"/>
        <v>14094</v>
      </c>
      <c r="O92" t="str">
        <f t="shared" si="15"/>
        <v>Εορδαίας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>ΝΑΙ</v>
      </c>
      <c r="I93" t="str">
        <f>LOOKUP(B93,ΠΕΡΙΦΕΡΕΙΑ!$A$2:$A$14,ΠΕΡΙΦΕΡΕΙΑ!$B$2:$B$14)</f>
        <v>Μερική</v>
      </c>
      <c r="J93">
        <f t="shared" si="12"/>
        <v>92</v>
      </c>
      <c r="K93">
        <f t="shared" si="13"/>
        <v>122</v>
      </c>
      <c r="L93" t="str">
        <f t="shared" si="10"/>
        <v>ΔΥΤΙΚΗΣ ΜΑΚΕΔΟΝΙΑΣ</v>
      </c>
      <c r="M93" t="str">
        <f t="shared" si="11"/>
        <v>ΔΥΤΙΚΗΣ ΜΑΚΕΔΟΝΙΑΣ - ΚΑΣΤΟΡΙΑΣ</v>
      </c>
      <c r="N93">
        <f t="shared" si="14"/>
        <v>14202</v>
      </c>
      <c r="O93" t="str">
        <f t="shared" si="15"/>
        <v>Καστοριάς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123</v>
      </c>
      <c r="L94" t="str">
        <f t="shared" si="10"/>
        <v>ΔΥΤΙΚΗΣ ΜΑΚΕΔΟΝΙΑΣ</v>
      </c>
      <c r="M94" t="str">
        <f t="shared" si="11"/>
        <v>ΔΥΤΙΚΗΣ ΜΑΚΕΔΟΝΙΑΣ - ΚΟΖΑΝΗΣ</v>
      </c>
      <c r="N94">
        <f t="shared" si="14"/>
        <v>14222</v>
      </c>
      <c r="O94" t="str">
        <f t="shared" si="15"/>
        <v>Κοζάνης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128</v>
      </c>
      <c r="L95" t="str">
        <f t="shared" si="10"/>
        <v>ΔΥΤΙΚΗΣ ΜΑΚΕΔΟΝΙΑΣ</v>
      </c>
      <c r="M95" t="str">
        <f t="shared" si="11"/>
        <v>ΔΥΤΙΚΗΣ ΜΑΚΕΔΟΝΙΑΣ - ΦΛΩΡΙΝΑΣ</v>
      </c>
      <c r="N95">
        <f t="shared" si="14"/>
        <v>14524</v>
      </c>
      <c r="O95" t="str">
        <f t="shared" si="15"/>
        <v>Φλώρινας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Μερική</v>
      </c>
      <c r="J96" t="str">
        <f t="shared" si="12"/>
        <v/>
      </c>
      <c r="K96">
        <f t="shared" si="13"/>
        <v>129</v>
      </c>
      <c r="L96" t="str">
        <f t="shared" si="10"/>
        <v>ΗΠΕΙΡΟΥ</v>
      </c>
      <c r="M96" t="str">
        <f t="shared" si="11"/>
        <v>ΗΠΕΙΡΟΥ - ΑΡΤΑΙΩΝ</v>
      </c>
      <c r="N96">
        <f t="shared" si="14"/>
        <v>14002</v>
      </c>
      <c r="O96" t="str">
        <f t="shared" si="15"/>
        <v>Αρταίων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136</v>
      </c>
      <c r="L97" t="str">
        <f t="shared" si="10"/>
        <v>ΗΠΕΙΡΟΥ</v>
      </c>
      <c r="M97" t="str">
        <f t="shared" si="11"/>
        <v>ΗΠΕΙΡΟΥ - ΗΓΟΥΜΕΝΙΤΣΑΣ</v>
      </c>
      <c r="N97">
        <f t="shared" si="14"/>
        <v>14120</v>
      </c>
      <c r="O97" t="str">
        <f t="shared" si="15"/>
        <v>Ηγουμενίτσας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137</v>
      </c>
      <c r="L98" t="str">
        <f t="shared" si="10"/>
        <v>ΗΠΕΙΡΟΥ</v>
      </c>
      <c r="M98" t="str">
        <f t="shared" si="11"/>
        <v>ΗΠΕΙΡΟΥ - ΙΩΑΝΝΙΤΩΝ</v>
      </c>
      <c r="N98">
        <f t="shared" si="14"/>
        <v>14158</v>
      </c>
      <c r="O98" t="str">
        <f t="shared" si="15"/>
        <v>Ιωαννιτών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140</v>
      </c>
      <c r="L99" t="str">
        <f t="shared" si="10"/>
        <v>ΗΠΕΙΡΟΥ</v>
      </c>
      <c r="M99" t="str">
        <f t="shared" si="11"/>
        <v>ΗΠΕΙΡΟΥ - ΜΕΤΣΟΒΟΥ</v>
      </c>
      <c r="N99">
        <f t="shared" si="14"/>
        <v>14298</v>
      </c>
      <c r="O99" t="str">
        <f t="shared" si="15"/>
        <v>Μετσόβου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143</v>
      </c>
      <c r="L100" t="str">
        <f t="shared" si="10"/>
        <v>ΗΠΕΙΡΟΥ</v>
      </c>
      <c r="M100" t="str">
        <f t="shared" si="11"/>
        <v>ΗΠΕΙΡΟΥ - ΠΡΕΒΕΖΑΣ</v>
      </c>
      <c r="N100">
        <f t="shared" si="14"/>
        <v>14420</v>
      </c>
      <c r="O100" t="str">
        <f t="shared" si="15"/>
        <v>Πρέβεζας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Μερική</v>
      </c>
      <c r="J101" t="str">
        <f t="shared" si="12"/>
        <v/>
      </c>
      <c r="K101">
        <f t="shared" si="13"/>
        <v>148</v>
      </c>
      <c r="L101" t="str">
        <f t="shared" si="10"/>
        <v>ΘΕΣΣΑΛΙΑΣ</v>
      </c>
      <c r="M101" t="str">
        <f t="shared" si="11"/>
        <v>ΘΕΣΣΑΛΙΑΣ - ΑΛΜΥΡΟΥ</v>
      </c>
      <c r="N101">
        <f t="shared" si="14"/>
        <v>13960</v>
      </c>
      <c r="O101" t="str">
        <f t="shared" si="15"/>
        <v>Αλμυρού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Μερική</v>
      </c>
      <c r="J102" t="str">
        <f t="shared" si="12"/>
        <v/>
      </c>
      <c r="K102">
        <f t="shared" si="13"/>
        <v>151</v>
      </c>
      <c r="L102" t="str">
        <f t="shared" si="10"/>
        <v>ΘΕΣΣΑΛΙΑΣ</v>
      </c>
      <c r="M102" t="str">
        <f t="shared" si="11"/>
        <v>ΘΕΣΣΑΛΙΑΣ - ΒΟΛΟΥ</v>
      </c>
      <c r="N102">
        <f t="shared" si="14"/>
        <v>14022</v>
      </c>
      <c r="O102" t="str">
        <f t="shared" si="15"/>
        <v>Βόλου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155</v>
      </c>
      <c r="L103" t="str">
        <f t="shared" si="10"/>
        <v>ΘΕΣΣΑΛΙΑΣ</v>
      </c>
      <c r="M103" t="str">
        <f t="shared" si="11"/>
        <v>ΘΕΣΣΑΛΙΑΣ - ΚΑΡΔΙΤΣΑΣ</v>
      </c>
      <c r="N103">
        <f t="shared" si="14"/>
        <v>14194</v>
      </c>
      <c r="O103" t="str">
        <f t="shared" si="15"/>
        <v>Καρδίτσας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157</v>
      </c>
      <c r="L104" t="str">
        <f t="shared" si="10"/>
        <v>ΘΕΣΣΑΛΙΑΣ</v>
      </c>
      <c r="M104" t="str">
        <f t="shared" si="11"/>
        <v>ΘΕΣΣΑΛΙΑΣ - ΛΑΡΙΣΑΙΩΝ</v>
      </c>
      <c r="N104">
        <f t="shared" si="14"/>
        <v>14250</v>
      </c>
      <c r="O104" t="str">
        <f t="shared" si="15"/>
        <v>Λαρισαίων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168</v>
      </c>
      <c r="L105" t="str">
        <f t="shared" si="10"/>
        <v>ΘΕΣΣΑΛΙΑΣ</v>
      </c>
      <c r="M105" t="str">
        <f t="shared" si="11"/>
        <v>ΘΕΣΣΑΛΙΑΣ - ΤΡΙΚΚΑΙΩΝ</v>
      </c>
      <c r="N105">
        <f t="shared" si="14"/>
        <v>14504</v>
      </c>
      <c r="O105" t="str">
        <f t="shared" si="15"/>
        <v>Τρικκαίων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Μερική</v>
      </c>
      <c r="J106" t="str">
        <f t="shared" si="12"/>
        <v/>
      </c>
      <c r="K106">
        <f t="shared" si="13"/>
        <v>172</v>
      </c>
      <c r="L106" t="str">
        <f t="shared" si="10"/>
        <v>ΙΟΝΙΩΝ ΝΗΣΩΝ</v>
      </c>
      <c r="M106" t="str">
        <f t="shared" si="11"/>
        <v>ΙΟΝΙΩΝ ΝΗΣΩΝ - ΖΑΚΥΝΘΟΥ</v>
      </c>
      <c r="N106">
        <f t="shared" si="14"/>
        <v>14112</v>
      </c>
      <c r="O106" t="str">
        <f t="shared" si="15"/>
        <v>Ζακύνθου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Μερική</v>
      </c>
      <c r="J107" t="str">
        <f t="shared" si="12"/>
        <v/>
      </c>
      <c r="K107">
        <f t="shared" si="13"/>
        <v>174</v>
      </c>
      <c r="L107" t="str">
        <f t="shared" si="10"/>
        <v>ΙΟΝΙΩΝ ΝΗΣΩΝ</v>
      </c>
      <c r="M107" t="str">
        <f t="shared" si="11"/>
        <v>ΙΟΝΙΩΝ ΝΗΣΩΝ - ΚΕΡΚΥΡΑΣ</v>
      </c>
      <c r="N107">
        <f t="shared" si="14"/>
        <v>14166</v>
      </c>
      <c r="O107" t="str">
        <f t="shared" si="15"/>
        <v>Κέρκυρας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Μερική</v>
      </c>
      <c r="J108" t="str">
        <f t="shared" si="12"/>
        <v/>
      </c>
      <c r="K108">
        <f t="shared" si="13"/>
        <v>175</v>
      </c>
      <c r="L108" t="str">
        <f t="shared" si="10"/>
        <v>ΙΟΝΙΩΝ ΝΗΣΩΝ</v>
      </c>
      <c r="M108" t="str">
        <f t="shared" si="11"/>
        <v>ΙΟΝΙΩΝ ΝΗΣΩΝ - ΚΕΦΑΛΟΝΙΑΣ</v>
      </c>
      <c r="N108">
        <f t="shared" si="14"/>
        <v>14210</v>
      </c>
      <c r="O108" t="str">
        <f t="shared" si="15"/>
        <v>Κεφαλονιάς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176</v>
      </c>
      <c r="L109" t="str">
        <f t="shared" si="10"/>
        <v>ΙΟΝΙΩΝ ΝΗΣΩΝ</v>
      </c>
      <c r="M109" t="str">
        <f t="shared" si="11"/>
        <v>ΙΟΝΙΩΝ ΝΗΣΩΝ - ΛΕΥΚΑΔΑΣ</v>
      </c>
      <c r="N109">
        <f t="shared" si="14"/>
        <v>14258</v>
      </c>
      <c r="O109" t="str">
        <f t="shared" si="15"/>
        <v>Λευκάδας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Μερική</v>
      </c>
      <c r="J110" t="str">
        <f t="shared" si="12"/>
        <v/>
      </c>
      <c r="K110">
        <f t="shared" si="13"/>
        <v>181</v>
      </c>
      <c r="L110" t="str">
        <f t="shared" si="10"/>
        <v>ΚΕΝΤΡΙΚΗΣ ΜΑΚΕΔΟΝΙΑΣ</v>
      </c>
      <c r="M110" t="str">
        <f t="shared" si="11"/>
        <v>ΚΕΝΤΡΙΚΗΣ ΜΑΚΕΔΟΝΙΑΣ - ΑΜΠΕΛΟΚΗΠΩΝ – ΜΕΝΕΜΕΝΗΣ</v>
      </c>
      <c r="N110">
        <f t="shared" si="14"/>
        <v>13972</v>
      </c>
      <c r="O110" t="str">
        <f t="shared" si="15"/>
        <v>Αμπελοκήπων - Μενεμένης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Μερική</v>
      </c>
      <c r="J111" t="str">
        <f t="shared" si="12"/>
        <v/>
      </c>
      <c r="K111">
        <f t="shared" si="13"/>
        <v>182</v>
      </c>
      <c r="L111" t="str">
        <f t="shared" si="10"/>
        <v>ΚΕΝΤΡΙΚΗΣ ΜΑΚΕΔΟΝΙΑΣ</v>
      </c>
      <c r="M111" t="str">
        <f t="shared" si="11"/>
        <v>ΚΕΝΤΡΙΚΗΣ ΜΑΚΕΔΟΝΙΑΣ - ΑΜΦΙΠΟΛΗΣ</v>
      </c>
      <c r="N111">
        <f t="shared" si="14"/>
        <v>13978</v>
      </c>
      <c r="O111" t="str">
        <f t="shared" si="15"/>
        <v>Αμφίπολης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Μερική</v>
      </c>
      <c r="J112" t="str">
        <f t="shared" si="12"/>
        <v/>
      </c>
      <c r="K112">
        <f t="shared" si="13"/>
        <v>183</v>
      </c>
      <c r="L112" t="str">
        <f t="shared" si="10"/>
        <v>ΚΕΝΤΡΙΚΗΣ ΜΑΚΕΔΟΝΙΑΣ</v>
      </c>
      <c r="M112" t="str">
        <f t="shared" si="11"/>
        <v>ΚΕΝΤΡΙΚΗΣ ΜΑΚΕΔΟΝΙΑΣ - ΑΡΙΣΤΟΤΕΛΗ</v>
      </c>
      <c r="N112">
        <f t="shared" si="14"/>
        <v>13998</v>
      </c>
      <c r="O112" t="str">
        <f t="shared" si="15"/>
        <v>Αριστοτέλη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Μερική</v>
      </c>
      <c r="J113" t="str">
        <f t="shared" si="12"/>
        <v/>
      </c>
      <c r="K113">
        <f t="shared" si="13"/>
        <v>184</v>
      </c>
      <c r="L113" t="str">
        <f t="shared" si="10"/>
        <v>ΚΕΝΤΡΙΚΗΣ ΜΑΚΕΔΟΝΙΑΣ</v>
      </c>
      <c r="M113" t="str">
        <f t="shared" si="11"/>
        <v>ΚΕΝΤΡΙΚΗΣ ΜΑΚΕΔΟΝΙΑΣ - ΒΕΡΟΙΑΣ</v>
      </c>
      <c r="N113">
        <f t="shared" si="14"/>
        <v>14018</v>
      </c>
      <c r="O113" t="str">
        <f t="shared" si="15"/>
        <v>Βέροιας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Μερική</v>
      </c>
      <c r="J114" t="str">
        <f t="shared" si="12"/>
        <v/>
      </c>
      <c r="K114">
        <f t="shared" si="13"/>
        <v>185</v>
      </c>
      <c r="L114" t="str">
        <f t="shared" si="10"/>
        <v>ΚΕΝΤΡΙΚΗΣ ΜΑΚΕΔΟΝΙΑΣ</v>
      </c>
      <c r="M114" t="str">
        <f t="shared" si="11"/>
        <v>ΚΕΝΤΡΙΚΗΣ ΜΑΚΕΔΟΝΙΑΣ - ΒΙΣΑΛΤΙΑΣ</v>
      </c>
      <c r="N114">
        <f t="shared" si="14"/>
        <v>14030</v>
      </c>
      <c r="O114" t="str">
        <f t="shared" si="15"/>
        <v>Βισαλτίας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186</v>
      </c>
      <c r="L115" t="str">
        <f t="shared" si="10"/>
        <v>ΚΕΝΤΡΙΚΗΣ ΜΑΚΕΔΟΝΙΑΣ</v>
      </c>
      <c r="M115" t="str">
        <f t="shared" si="11"/>
        <v>ΚΕΝΤΡΙΚΗΣ ΜΑΚΕΔΟΝΙΑΣ - ΒΟΛΒΗΣ</v>
      </c>
      <c r="N115">
        <f t="shared" si="14"/>
        <v>14020</v>
      </c>
      <c r="O115" t="str">
        <f t="shared" si="15"/>
        <v>Βόλβης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187</v>
      </c>
      <c r="L116" t="str">
        <f t="shared" si="10"/>
        <v>ΚΕΝΤΡΙΚΗΣ ΜΑΚΕΔΟΝΙΑΣ</v>
      </c>
      <c r="M116" t="str">
        <f t="shared" si="11"/>
        <v>ΚΕΝΤΡΙΚΗΣ ΜΑΚΕΔΟΝΙΑΣ - ΔΕΛΤΑ</v>
      </c>
      <c r="N116">
        <f t="shared" si="14"/>
        <v>14054</v>
      </c>
      <c r="O116" t="str">
        <f t="shared" si="15"/>
        <v>Δέλτα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189</v>
      </c>
      <c r="L117" t="str">
        <f t="shared" si="10"/>
        <v>ΚΕΝΤΡΙΚΗΣ ΜΑΚΕΔΟΝΙΑΣ</v>
      </c>
      <c r="M117" t="str">
        <f t="shared" si="11"/>
        <v>ΚΕΝΤΡΙΚΗΣ ΜΑΚΕΔΟΝΙΑΣ - ΕΔΕΣΣΑΣ</v>
      </c>
      <c r="N117">
        <f t="shared" si="14"/>
        <v>13912</v>
      </c>
      <c r="O117" t="str">
        <f t="shared" si="15"/>
        <v>Έδεσσας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Μερική</v>
      </c>
      <c r="J118" t="str">
        <f t="shared" si="12"/>
        <v/>
      </c>
      <c r="K118">
        <f t="shared" si="13"/>
        <v>190</v>
      </c>
      <c r="L118" t="str">
        <f t="shared" si="10"/>
        <v>ΚΕΝΤΡΙΚΗΣ ΜΑΚΕΔΟΝΙΑΣ</v>
      </c>
      <c r="M118" t="str">
        <f t="shared" si="11"/>
        <v>ΚΕΝΤΡΙΚΗΣ ΜΑΚΕΔΟΝΙΑΣ - ΕΜΜΑΝΟΥΗΛ ΠΑΠΠΑ</v>
      </c>
      <c r="N118">
        <f t="shared" si="14"/>
        <v>14092</v>
      </c>
      <c r="O118" t="str">
        <f t="shared" si="15"/>
        <v>Εμμανουήλ Παππά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Μερική</v>
      </c>
      <c r="J119" t="str">
        <f t="shared" si="12"/>
        <v/>
      </c>
      <c r="K119">
        <f t="shared" si="13"/>
        <v>191</v>
      </c>
      <c r="L119" t="str">
        <f t="shared" si="10"/>
        <v>ΚΕΝΤΡΙΚΗΣ ΜΑΚΕΔΟΝΙΑΣ</v>
      </c>
      <c r="M119" t="str">
        <f t="shared" si="11"/>
        <v>ΚΕΝΤΡΙΚΗΣ ΜΑΚΕΔΟΝΙΑΣ - ΗΡΑΚΛΕΙΑΣ</v>
      </c>
      <c r="N119">
        <f t="shared" si="14"/>
        <v>14124</v>
      </c>
      <c r="O119" t="str">
        <f t="shared" si="15"/>
        <v>Ηρακλείας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192</v>
      </c>
      <c r="L120" t="str">
        <f t="shared" si="10"/>
        <v>ΚΕΝΤΡΙΚΗΣ ΜΑΚΕΔΟΝΙΑΣ</v>
      </c>
      <c r="M120" t="str">
        <f t="shared" si="11"/>
        <v>ΚΕΝΤΡΙΚΗΣ ΜΑΚΕΔΟΝΙΑΣ - ΘΕΡΜΑΪΚΟΥ</v>
      </c>
      <c r="N120">
        <f t="shared" si="14"/>
        <v>14136</v>
      </c>
      <c r="O120" t="str">
        <f t="shared" si="15"/>
        <v>Θερμαϊκού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193</v>
      </c>
      <c r="L121" t="str">
        <f t="shared" si="10"/>
        <v>ΚΕΝΤΡΙΚΗΣ ΜΑΚΕΔΟΝΙΑΣ</v>
      </c>
      <c r="M121" t="str">
        <f t="shared" si="11"/>
        <v>ΚΕΝΤΡΙΚΗΣ ΜΑΚΕΔΟΝΙΑΣ - ΘΕΡΜΗΣ</v>
      </c>
      <c r="N121">
        <f t="shared" si="14"/>
        <v>14130</v>
      </c>
      <c r="O121" t="str">
        <f t="shared" si="15"/>
        <v>Θέρμης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194</v>
      </c>
      <c r="L122" t="str">
        <f t="shared" si="10"/>
        <v>ΚΕΝΤΡΙΚΗΣ ΜΑΚΕΔΟΝΙΑΣ</v>
      </c>
      <c r="M122" t="str">
        <f t="shared" si="11"/>
        <v>ΚΕΝΤΡΙΚΗΣ ΜΑΚΕΔΟΝΙΑΣ - ΘΕΣΣΑΛΟΝΙΚΗΣ</v>
      </c>
      <c r="N122">
        <f t="shared" si="14"/>
        <v>14138</v>
      </c>
      <c r="O122" t="str">
        <f t="shared" si="15"/>
        <v>Θεσσαλονίκης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195</v>
      </c>
      <c r="L123" t="str">
        <f t="shared" si="10"/>
        <v>ΚΕΝΤΡΙΚΗΣ ΜΑΚΕΔΟΝΙΑΣ</v>
      </c>
      <c r="M123" t="str">
        <f t="shared" si="11"/>
        <v>ΚΕΝΤΡΙΚΗΣ ΜΑΚΕΔΟΝΙΑΣ - ΚΑΛΑΜΑΡΙΑΣ</v>
      </c>
      <c r="N123">
        <f t="shared" si="14"/>
        <v>14182</v>
      </c>
      <c r="O123" t="str">
        <f t="shared" si="15"/>
        <v>Καλαμαριάς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196</v>
      </c>
      <c r="L124" t="str">
        <f t="shared" si="10"/>
        <v>ΚΕΝΤΡΙΚΗΣ ΜΑΚΕΔΟΝΙΑΣ</v>
      </c>
      <c r="M124" t="str">
        <f t="shared" si="11"/>
        <v>ΚΕΝΤΡΙΚΗΣ ΜΑΚΕΔΟΝΙΑΣ - ΚΑΣΣΑΝΔΡΑΣ</v>
      </c>
      <c r="N124">
        <f t="shared" si="14"/>
        <v>14200</v>
      </c>
      <c r="O124" t="str">
        <f t="shared" si="15"/>
        <v>Κασσάνδρας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197</v>
      </c>
      <c r="L125" t="str">
        <f t="shared" si="10"/>
        <v>ΚΕΝΤΡΙΚΗΣ ΜΑΚΕΔΟΝΙΑΣ</v>
      </c>
      <c r="M125" t="str">
        <f t="shared" si="11"/>
        <v>ΚΕΝΤΡΙΚΗΣ ΜΑΚΕΔΟΝΙΑΣ - ΚΑΤΕΡΙΝΗΣ</v>
      </c>
      <c r="N125">
        <f t="shared" si="14"/>
        <v>14204</v>
      </c>
      <c r="O125" t="str">
        <f t="shared" si="15"/>
        <v>Κατερίνης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Μερική</v>
      </c>
      <c r="J126" t="str">
        <f t="shared" si="12"/>
        <v/>
      </c>
      <c r="K126">
        <f t="shared" si="13"/>
        <v>198</v>
      </c>
      <c r="L126" t="str">
        <f t="shared" si="10"/>
        <v>ΚΕΝΤΡΙΚΗΣ ΜΑΚΕΔΟΝΙΑΣ</v>
      </c>
      <c r="M126" t="str">
        <f t="shared" si="11"/>
        <v>ΚΕΝΤΡΙΚΗΣ ΜΑΚΕΔΟΝΙΑΣ - ΚΙΛΚΙΣ</v>
      </c>
      <c r="N126">
        <f t="shared" si="14"/>
        <v>14216</v>
      </c>
      <c r="O126" t="str">
        <f t="shared" si="15"/>
        <v>Κιλκίς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199</v>
      </c>
      <c r="L127" t="str">
        <f t="shared" si="10"/>
        <v>ΚΕΝΤΡΙΚΗΣ ΜΑΚΕΔΟΝΙΑΣ</v>
      </c>
      <c r="M127" t="str">
        <f t="shared" si="11"/>
        <v>ΚΕΝΤΡΙΚΗΣ ΜΑΚΕΔΟΝΙΑΣ - ΚΟΡΔΕΛΙΟΥ – ΕΥΟΣΜΟΥ</v>
      </c>
      <c r="N127">
        <f t="shared" si="14"/>
        <v>14226</v>
      </c>
      <c r="O127" t="str">
        <f t="shared" si="15"/>
        <v>Κορδελιού - Ευόσμου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200</v>
      </c>
      <c r="L128" t="str">
        <f t="shared" si="10"/>
        <v>ΚΕΝΤΡΙΚΗΣ ΜΑΚΕΔΟΝΙΑΣ</v>
      </c>
      <c r="M128" t="str">
        <f t="shared" si="11"/>
        <v>ΚΕΝΤΡΙΚΗΣ ΜΑΚΕΔΟΝΙΑΣ - ΛΑΓΚΑΔΑ</v>
      </c>
      <c r="N128">
        <f t="shared" si="14"/>
        <v>14246</v>
      </c>
      <c r="O128" t="str">
        <f t="shared" si="15"/>
        <v>Λαγκαδά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201</v>
      </c>
      <c r="L129" t="str">
        <f t="shared" si="10"/>
        <v>ΚΕΝΤΡΙΚΗΣ ΜΑΚΕΔΟΝΙΑΣ</v>
      </c>
      <c r="M129" t="str">
        <f t="shared" si="11"/>
        <v>ΚΕΝΤΡΙΚΗΣ ΜΑΚΕΔΟΝΙΑΣ - ΝΑΟΥΣΑΣ</v>
      </c>
      <c r="N129">
        <f t="shared" si="14"/>
        <v>14314</v>
      </c>
      <c r="O129" t="str">
        <f t="shared" si="15"/>
        <v>Νάουσας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202</v>
      </c>
      <c r="L130" t="str">
        <f t="shared" ref="L130:L193" si="18">IF(ISNUMBER(K130),LOOKUP(K130,A:A,B:B),"")</f>
        <v>ΚΕΝΤΡΙΚΗΣ ΜΑΚΕΔΟΝΙΑΣ</v>
      </c>
      <c r="M130" t="str">
        <f t="shared" ref="M130:M193" si="19">IF(ISNUMBER(K130),LOOKUP(K130,A:A,B:B)&amp;" - "&amp;LOOKUP(K130,A:A,D:D),"")</f>
        <v>ΚΕΝΤΡΙΚΗΣ ΜΑΚΕΔΟΝΙΑΣ - ΝΕΑΠΟΛΗΣ – ΣΥΚΕΩΝ</v>
      </c>
      <c r="N130">
        <f t="shared" si="14"/>
        <v>14316</v>
      </c>
      <c r="O130" t="str">
        <f t="shared" si="15"/>
        <v>Νέαπολης - Συκεών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203</v>
      </c>
      <c r="L131" t="str">
        <f t="shared" si="18"/>
        <v>ΚΕΝΤΡΙΚΗΣ ΜΑΚΕΔΟΝΙΑΣ</v>
      </c>
      <c r="M131" t="str">
        <f t="shared" si="19"/>
        <v>ΚΕΝΤΡΙΚΗΣ ΜΑΚΕΔΟΝΙΑΣ - ΝΕΑΣ ΖΙΧΝΗΣ</v>
      </c>
      <c r="N131">
        <f t="shared" ref="N131:N194" si="22">IF(ISNUMBER(K131),LOOKUP(K131,A:A,G:G),"")</f>
        <v>14318</v>
      </c>
      <c r="O131" t="str">
        <f t="shared" ref="O131:O194" si="23">IF(ISNUMBER(K131),LOOKUP(K131,A:A,F:F),"")</f>
        <v>Νέας Ζίχνης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204</v>
      </c>
      <c r="L132" t="str">
        <f t="shared" si="18"/>
        <v>ΚΕΝΤΡΙΚΗΣ ΜΑΚΕΔΟΝΙΑΣ</v>
      </c>
      <c r="M132" t="str">
        <f t="shared" si="19"/>
        <v>ΚΕΝΤΡΙΚΗΣ ΜΑΚΕΔΟΝΙΑΣ - ΝΕΑΣ ΠΡΟΠΟΝΤΙΔΑΣ</v>
      </c>
      <c r="N132">
        <f t="shared" si="22"/>
        <v>14322</v>
      </c>
      <c r="O132" t="str">
        <f t="shared" si="23"/>
        <v>Νέας Προποντίδας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205</v>
      </c>
      <c r="L133" t="str">
        <f t="shared" si="18"/>
        <v>ΚΕΝΤΡΙΚΗΣ ΜΑΚΕΔΟΝΙΑΣ</v>
      </c>
      <c r="M133" t="str">
        <f t="shared" si="19"/>
        <v>ΚΕΝΤΡΙΚΗΣ ΜΑΚΕΔΟΝΙΑΣ - ΠΑΙΟΝΙΑΣ</v>
      </c>
      <c r="N133">
        <f t="shared" si="22"/>
        <v>14388</v>
      </c>
      <c r="O133" t="str">
        <f t="shared" si="23"/>
        <v>Παιονίας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Μερική</v>
      </c>
      <c r="J134" t="str">
        <f t="shared" si="20"/>
        <v/>
      </c>
      <c r="K134">
        <f t="shared" si="21"/>
        <v>206</v>
      </c>
      <c r="L134" t="str">
        <f t="shared" si="18"/>
        <v>ΚΕΝΤΡΙΚΗΣ ΜΑΚΕΔΟΝΙΑΣ</v>
      </c>
      <c r="M134" t="str">
        <f t="shared" si="19"/>
        <v>ΚΕΝΤΡΙΚΗΣ ΜΑΚΕΔΟΝΙΑΣ - ΠΑΥΛΟΥ ΜΕΛΑ</v>
      </c>
      <c r="N134">
        <f t="shared" si="22"/>
        <v>14382</v>
      </c>
      <c r="O134" t="str">
        <f t="shared" si="23"/>
        <v>Παύλου Μελά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Μερική</v>
      </c>
      <c r="J135" t="str">
        <f t="shared" si="20"/>
        <v/>
      </c>
      <c r="K135">
        <f t="shared" si="21"/>
        <v>207</v>
      </c>
      <c r="L135" t="str">
        <f t="shared" si="18"/>
        <v>ΚΕΝΤΡΙΚΗΣ ΜΑΚΕΔΟΝΙΑΣ</v>
      </c>
      <c r="M135" t="str">
        <f t="shared" si="19"/>
        <v>ΚΕΝΤΡΙΚΗΣ ΜΑΚΕΔΟΝΙΑΣ - ΠΕΛΛΑΣ</v>
      </c>
      <c r="N135">
        <f t="shared" si="22"/>
        <v>14370</v>
      </c>
      <c r="O135" t="str">
        <f t="shared" si="23"/>
        <v>Πέλλας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Μερική</v>
      </c>
      <c r="J136" t="str">
        <f t="shared" si="20"/>
        <v/>
      </c>
      <c r="K136">
        <f t="shared" si="21"/>
        <v>208</v>
      </c>
      <c r="L136" t="str">
        <f t="shared" si="18"/>
        <v>ΚΕΝΤΡΙΚΗΣ ΜΑΚΕΔΟΝΙΑΣ</v>
      </c>
      <c r="M136" t="str">
        <f t="shared" si="19"/>
        <v>ΚΕΝΤΡΙΚΗΣ ΜΑΚΕΔΟΝΙΑΣ - ΠΟΛΥΓΥΡΟΥ</v>
      </c>
      <c r="N136">
        <f t="shared" si="22"/>
        <v>14418</v>
      </c>
      <c r="O136" t="str">
        <f t="shared" si="23"/>
        <v>Πολυγύρου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210</v>
      </c>
      <c r="L137" t="str">
        <f t="shared" si="18"/>
        <v>ΚΕΝΤΡΙΚΗΣ ΜΑΚΕΔΟΝΙΑΣ</v>
      </c>
      <c r="M137" t="str">
        <f t="shared" si="19"/>
        <v>ΚΕΝΤΡΙΚΗΣ ΜΑΚΕΔΟΝΙΑΣ - ΠΥΛΑΙΑΣ – ΧΟΡΤΙΑΤΗ</v>
      </c>
      <c r="N137">
        <f t="shared" si="22"/>
        <v>14426</v>
      </c>
      <c r="O137" t="str">
        <f t="shared" si="23"/>
        <v>Πυλαίας - Χορτιάτη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211</v>
      </c>
      <c r="L138" t="str">
        <f t="shared" si="18"/>
        <v>ΚΕΝΤΡΙΚΗΣ ΜΑΚΕΔΟΝΙΑΣ</v>
      </c>
      <c r="M138" t="str">
        <f t="shared" si="19"/>
        <v>ΚΕΝΤΡΙΚΗΣ ΜΑΚΕΔΟΝΙΑΣ - ΣΕΡΡΩΝ</v>
      </c>
      <c r="N138">
        <f t="shared" si="22"/>
        <v>14456</v>
      </c>
      <c r="O138" t="str">
        <f t="shared" si="23"/>
        <v>Σερρών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212</v>
      </c>
      <c r="L139" t="str">
        <f t="shared" si="18"/>
        <v>ΚΕΝΤΡΙΚΗΣ ΜΑΚΕΔΟΝΙΑΣ</v>
      </c>
      <c r="M139" t="str">
        <f t="shared" si="19"/>
        <v>ΚΕΝΤΡΙΚΗΣ ΜΑΚΕΔΟΝΙΑΣ - ΣΙΘΩΝΙΑΣ</v>
      </c>
      <c r="N139">
        <f t="shared" si="22"/>
        <v>14460</v>
      </c>
      <c r="O139" t="str">
        <f t="shared" si="23"/>
        <v>Σιθωνίας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213</v>
      </c>
      <c r="L140" t="str">
        <f t="shared" si="18"/>
        <v>ΚΕΝΤΡΙΚΗΣ ΜΑΚΕΔΟΝΙΑΣ</v>
      </c>
      <c r="M140" t="str">
        <f t="shared" si="19"/>
        <v>ΚΕΝΤΡΙΚΗΣ ΜΑΚΕΔΟΝΙΑΣ - ΣΙΝΤΙΚΗΣ</v>
      </c>
      <c r="N140">
        <f t="shared" si="22"/>
        <v>14466</v>
      </c>
      <c r="O140" t="str">
        <f t="shared" si="23"/>
        <v>Σιντικής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215</v>
      </c>
      <c r="L141" t="str">
        <f t="shared" si="18"/>
        <v>ΚΕΝΤΡΙΚΗΣ ΜΑΚΕΔΟΝΙΑΣ</v>
      </c>
      <c r="M141" t="str">
        <f t="shared" si="19"/>
        <v>ΚΕΝΤΡΙΚΗΣ ΜΑΚΕΔΟΝΙΑΣ - ΧΑΛΚΗΔΟΝΟΣ</v>
      </c>
      <c r="N141">
        <f t="shared" si="22"/>
        <v>14538</v>
      </c>
      <c r="O141" t="str">
        <f t="shared" si="23"/>
        <v>Χαλκηδόνος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Μερική</v>
      </c>
      <c r="J142" t="str">
        <f t="shared" si="20"/>
        <v/>
      </c>
      <c r="K142">
        <f t="shared" si="21"/>
        <v>216</v>
      </c>
      <c r="L142" t="str">
        <f t="shared" si="18"/>
        <v>ΚΕΝΤΡΙΚΗΣ ΜΑΚΕΔΟΝΙΑΣ</v>
      </c>
      <c r="M142" t="str">
        <f t="shared" si="19"/>
        <v>ΚΕΝΤΡΙΚΗΣ ΜΑΚΕΔΟΝΙΑΣ - ΩΡΑΙΟΚΑΣΤΡΟΥ</v>
      </c>
      <c r="N142">
        <f t="shared" si="22"/>
        <v>14550</v>
      </c>
      <c r="O142" t="str">
        <f t="shared" si="23"/>
        <v>Ωραιοκάστρου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218</v>
      </c>
      <c r="L143" t="str">
        <f t="shared" si="18"/>
        <v>ΚΡΗΤΗΣ</v>
      </c>
      <c r="M143" t="str">
        <f t="shared" si="19"/>
        <v>ΚΡΗΤΗΣ - ΑΓΙΟΥ ΝΙΚΟΛΑΟΥ</v>
      </c>
      <c r="N143">
        <f t="shared" si="22"/>
        <v>13932</v>
      </c>
      <c r="O143" t="str">
        <f t="shared" si="23"/>
        <v>Αγίου Νικολάου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226</v>
      </c>
      <c r="L144" t="str">
        <f t="shared" si="18"/>
        <v>ΚΡΗΤΗΣ</v>
      </c>
      <c r="M144" t="str">
        <f t="shared" si="19"/>
        <v>ΚΡΗΤΗΣ - ΗΡΑΚΛΕΙΟΥ</v>
      </c>
      <c r="N144">
        <f t="shared" si="22"/>
        <v>14126</v>
      </c>
      <c r="O144" t="str">
        <f t="shared" si="23"/>
        <v>Ηρακλείου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Μερική</v>
      </c>
      <c r="J145" t="str">
        <f t="shared" si="20"/>
        <v/>
      </c>
      <c r="K145">
        <f t="shared" si="21"/>
        <v>227</v>
      </c>
      <c r="L145" t="str">
        <f t="shared" si="18"/>
        <v>ΚΡΗΤΗΣ</v>
      </c>
      <c r="M145" t="str">
        <f t="shared" si="19"/>
        <v>ΚΡΗΤΗΣ - ΙΕΡΑΠΕΤΡΑΣ</v>
      </c>
      <c r="N145">
        <f t="shared" si="22"/>
        <v>14144</v>
      </c>
      <c r="O145" t="str">
        <f t="shared" si="23"/>
        <v>Ιεράπετρας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Μερική</v>
      </c>
      <c r="J146" t="str">
        <f t="shared" si="20"/>
        <v/>
      </c>
      <c r="K146">
        <f t="shared" si="21"/>
        <v>235</v>
      </c>
      <c r="L146" t="str">
        <f t="shared" si="18"/>
        <v>ΚΡΗΤΗΣ</v>
      </c>
      <c r="M146" t="str">
        <f t="shared" si="19"/>
        <v>ΚΡΗΤΗΣ - ΡΕΘΥΜΝΗΣ</v>
      </c>
      <c r="N146">
        <f t="shared" si="22"/>
        <v>14436</v>
      </c>
      <c r="O146" t="str">
        <f t="shared" si="23"/>
        <v>Ρεθύμνης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Μερική</v>
      </c>
      <c r="J147" t="str">
        <f t="shared" si="20"/>
        <v/>
      </c>
      <c r="K147">
        <f t="shared" si="21"/>
        <v>236</v>
      </c>
      <c r="L147" t="str">
        <f t="shared" si="18"/>
        <v>ΚΡΗΤΗΣ</v>
      </c>
      <c r="M147" t="str">
        <f t="shared" si="19"/>
        <v>ΚΡΗΤΗΣ - ΣΗΤΕΙΑΣ</v>
      </c>
      <c r="N147">
        <f t="shared" si="22"/>
        <v>14458</v>
      </c>
      <c r="O147" t="str">
        <f t="shared" si="23"/>
        <v>Σητείας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Μερική</v>
      </c>
      <c r="J148" t="str">
        <f t="shared" si="20"/>
        <v/>
      </c>
      <c r="K148">
        <f t="shared" si="21"/>
        <v>239</v>
      </c>
      <c r="L148" t="str">
        <f t="shared" si="18"/>
        <v>ΚΡΗΤΗΣ</v>
      </c>
      <c r="M148" t="str">
        <f t="shared" si="19"/>
        <v>ΚΡΗΤΗΣ - ΧΑΝΙΩΝ</v>
      </c>
      <c r="N148">
        <f t="shared" si="22"/>
        <v>14542</v>
      </c>
      <c r="O148" t="str">
        <f t="shared" si="23"/>
        <v>Χανίων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249</v>
      </c>
      <c r="L149" t="str">
        <f t="shared" si="18"/>
        <v>ΝΟΤΙΟΥ ΑΙΓΑΙΟΥ</v>
      </c>
      <c r="M149" t="str">
        <f t="shared" si="19"/>
        <v>ΝΟΤΙΟΥ ΑΙΓΑΙΟΥ - ΚΑΛΥΜΝΙΩΝ</v>
      </c>
      <c r="N149">
        <f t="shared" si="22"/>
        <v>14188</v>
      </c>
      <c r="O149" t="str">
        <f t="shared" si="23"/>
        <v>Καλυμνίων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250</v>
      </c>
      <c r="L150" t="str">
        <f t="shared" si="18"/>
        <v>ΝΟΤΙΟΥ ΑΙΓΑΙΟΥ</v>
      </c>
      <c r="M150" t="str">
        <f t="shared" si="19"/>
        <v>ΝΟΤΙΟΥ ΑΙΓΑΙΟΥ - ΚΑΡΠΑΘΟΥ</v>
      </c>
      <c r="N150">
        <f t="shared" si="22"/>
        <v>14196</v>
      </c>
      <c r="O150" t="str">
        <f t="shared" si="23"/>
        <v>Καρπάθου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255</v>
      </c>
      <c r="L151" t="str">
        <f t="shared" si="18"/>
        <v>ΝΟΤΙΟΥ ΑΙΓΑΙΟΥ</v>
      </c>
      <c r="M151" t="str">
        <f t="shared" si="19"/>
        <v>ΝΟΤΙΟΥ ΑΙΓΑΙΟΥ - ΚΩ</v>
      </c>
      <c r="N151">
        <f t="shared" si="22"/>
        <v>14236</v>
      </c>
      <c r="O151" t="str">
        <f t="shared" si="23"/>
        <v>Κω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257</v>
      </c>
      <c r="L152" t="str">
        <f t="shared" si="18"/>
        <v>ΝΟΤΙΟΥ ΑΙΓΑΙΟΥ</v>
      </c>
      <c r="M152" t="str">
        <f t="shared" si="19"/>
        <v>ΝΟΤΙΟΥ ΑΙΓΑΙΟΥ - ΛΕΡΟΥ</v>
      </c>
      <c r="N152">
        <f t="shared" si="22"/>
        <v>14238</v>
      </c>
      <c r="O152" t="str">
        <f t="shared" si="23"/>
        <v>Λέρου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Μερική</v>
      </c>
      <c r="J153" t="str">
        <f t="shared" si="20"/>
        <v/>
      </c>
      <c r="K153">
        <f t="shared" si="21"/>
        <v>260</v>
      </c>
      <c r="L153" t="str">
        <f t="shared" si="18"/>
        <v>ΝΟΤΙΟΥ ΑΙΓΑΙΟΥ</v>
      </c>
      <c r="M153" t="str">
        <f t="shared" si="19"/>
        <v>ΝΟΤΙΟΥ ΑΙΓΑΙΟΥ - ΜΥΚΟΝΟΥ</v>
      </c>
      <c r="N153">
        <f t="shared" si="22"/>
        <v>14308</v>
      </c>
      <c r="O153" t="str">
        <f t="shared" si="23"/>
        <v>Μυκόνου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264</v>
      </c>
      <c r="L154" t="str">
        <f t="shared" si="18"/>
        <v>ΝΟΤΙΟΥ ΑΙΓΑΙΟΥ</v>
      </c>
      <c r="M154" t="str">
        <f t="shared" si="19"/>
        <v>ΝΟΤΙΟΥ ΑΙΓΑΙΟΥ - ΠΑΤΜΟΥ</v>
      </c>
      <c r="N154">
        <f t="shared" si="22"/>
        <v>14368</v>
      </c>
      <c r="O154" t="str">
        <f t="shared" si="23"/>
        <v>Πάτμου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Μερική</v>
      </c>
      <c r="J155" t="str">
        <f t="shared" si="20"/>
        <v/>
      </c>
      <c r="K155">
        <f t="shared" si="21"/>
        <v>265</v>
      </c>
      <c r="L155" t="str">
        <f t="shared" si="18"/>
        <v>ΝΟΤΙΟΥ ΑΙΓΑΙΟΥ</v>
      </c>
      <c r="M155" t="str">
        <f t="shared" si="19"/>
        <v>ΝΟΤΙΟΥ ΑΙΓΑΙΟΥ - ΡΟΔΟΥ</v>
      </c>
      <c r="N155">
        <f t="shared" si="22"/>
        <v>14432</v>
      </c>
      <c r="O155" t="str">
        <f t="shared" si="23"/>
        <v>Ρόδου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276</v>
      </c>
      <c r="L156" t="str">
        <f t="shared" si="18"/>
        <v>ΠΕΛΟΠΟΝΝΗΣΟΥ</v>
      </c>
      <c r="M156" t="str">
        <f t="shared" si="19"/>
        <v>ΠΕΛΟΠΟΝΝΗΣΟΥ - ΑΡΓΟΥΣ – ΜΥΚΗΝΩΝ</v>
      </c>
      <c r="N156">
        <f t="shared" si="22"/>
        <v>13910</v>
      </c>
      <c r="O156" t="str">
        <f t="shared" si="23"/>
        <v>Άργους - Μυκηνών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Μερική</v>
      </c>
      <c r="J157" t="str">
        <f t="shared" si="20"/>
        <v/>
      </c>
      <c r="K157">
        <f t="shared" si="21"/>
        <v>285</v>
      </c>
      <c r="L157" t="str">
        <f t="shared" si="18"/>
        <v>ΠΕΛΟΠΟΝΝΗΣΟΥ</v>
      </c>
      <c r="M157" t="str">
        <f t="shared" si="19"/>
        <v>ΠΕΛΟΠΟΝΝΗΣΟΥ - ΚΑΛΑΜΑΤΑΣ</v>
      </c>
      <c r="N157">
        <f t="shared" si="22"/>
        <v>14180</v>
      </c>
      <c r="O157" t="str">
        <f t="shared" si="23"/>
        <v>Καλαμάτας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286</v>
      </c>
      <c r="L158" t="str">
        <f t="shared" si="18"/>
        <v>ΠΕΛΟΠΟΝΝΗΣΟΥ</v>
      </c>
      <c r="M158" t="str">
        <f t="shared" si="19"/>
        <v>ΠΕΛΟΠΟΝΝΗΣΟΥ - ΚΟΡΙΝΘΙΩΝ</v>
      </c>
      <c r="N158">
        <f t="shared" si="22"/>
        <v>14228</v>
      </c>
      <c r="O158" t="str">
        <f t="shared" si="23"/>
        <v>Κορινθίων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287</v>
      </c>
      <c r="L159" t="str">
        <f t="shared" si="18"/>
        <v>ΠΕΛΟΠΟΝΝΗΣΟΥ</v>
      </c>
      <c r="M159" t="str">
        <f t="shared" si="19"/>
        <v>ΠΕΛΟΠΟΝΝΗΣΟΥ - ΛΟΥΤΡΑΚΙΟΥ – ΑΓΙΩΝ ΘΕΟΔΩΡΩΝ</v>
      </c>
      <c r="N159">
        <f t="shared" si="22"/>
        <v>14262</v>
      </c>
      <c r="O159" t="str">
        <f t="shared" si="23"/>
        <v>Λουτρακίου - Αγ. Θεοδώρων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Μερική</v>
      </c>
      <c r="J160" t="str">
        <f t="shared" si="20"/>
        <v/>
      </c>
      <c r="K160">
        <f t="shared" si="21"/>
        <v>291</v>
      </c>
      <c r="L160" t="str">
        <f t="shared" si="18"/>
        <v>ΠΕΛΟΠΟΝΝΗΣΟΥ</v>
      </c>
      <c r="M160" t="str">
        <f t="shared" si="19"/>
        <v>ΠΕΛΟΠΟΝΝΗΣΟΥ - ΝΑΥΠΛΙΕΩΝ</v>
      </c>
      <c r="N160">
        <f t="shared" si="22"/>
        <v>14334</v>
      </c>
      <c r="O160" t="str">
        <f t="shared" si="23"/>
        <v>Ναυπλιέων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Μερική</v>
      </c>
      <c r="J161" t="str">
        <f t="shared" si="20"/>
        <v/>
      </c>
      <c r="K161">
        <f t="shared" si="21"/>
        <v>298</v>
      </c>
      <c r="L161" t="str">
        <f t="shared" si="18"/>
        <v>ΠΕΛΟΠΟΝΝΗΣΟΥ</v>
      </c>
      <c r="M161" t="str">
        <f t="shared" si="19"/>
        <v>ΠΕΛΟΠΟΝΝΗΣΟΥ - ΣΠΑΡΤΗΣ</v>
      </c>
      <c r="N161">
        <f t="shared" si="22"/>
        <v>14482</v>
      </c>
      <c r="O161" t="str">
        <f t="shared" si="23"/>
        <v>Σπάρτης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Μερική</v>
      </c>
      <c r="J162" t="str">
        <f t="shared" si="20"/>
        <v/>
      </c>
      <c r="K162">
        <f t="shared" si="21"/>
        <v>299</v>
      </c>
      <c r="L162" t="str">
        <f t="shared" si="18"/>
        <v>ΠΕΛΟΠΟΝΝΗΣΟΥ</v>
      </c>
      <c r="M162" t="str">
        <f t="shared" si="19"/>
        <v>ΠΕΛΟΠΟΝΝΗΣΟΥ - ΤΡΙΠΟΛΗΣ</v>
      </c>
      <c r="N162">
        <f t="shared" si="22"/>
        <v>14502</v>
      </c>
      <c r="O162" t="str">
        <f t="shared" si="23"/>
        <v>Τρίπολης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310</v>
      </c>
      <c r="L163" t="str">
        <f t="shared" si="18"/>
        <v>ΣΤΕΡΕΑΣ ΕΛΛΑΔΑΣ</v>
      </c>
      <c r="M163" t="str">
        <f t="shared" si="19"/>
        <v>ΣΤΕΡΕΑΣ ΕΛΛΑΔΑΣ - ΘΗΒΑΙΩΝ</v>
      </c>
      <c r="N163">
        <f t="shared" si="22"/>
        <v>14140</v>
      </c>
      <c r="O163" t="str">
        <f t="shared" si="23"/>
        <v>Θηβαίων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Μερική</v>
      </c>
      <c r="J164" t="str">
        <f t="shared" si="20"/>
        <v/>
      </c>
      <c r="K164">
        <f t="shared" si="21"/>
        <v>315</v>
      </c>
      <c r="L164" t="str">
        <f t="shared" si="18"/>
        <v>ΣΤΕΡΕΑΣ ΕΛΛΑΔΑΣ</v>
      </c>
      <c r="M164" t="str">
        <f t="shared" si="19"/>
        <v>ΣΤΕΡΕΑΣ ΕΛΛΑΔΑΣ - ΛΑΜΙΕΩΝ</v>
      </c>
      <c r="N164">
        <f t="shared" si="22"/>
        <v>14248</v>
      </c>
      <c r="O164" t="str">
        <f t="shared" si="23"/>
        <v>Λαμιέων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Μερική</v>
      </c>
      <c r="J165" t="str">
        <f t="shared" si="20"/>
        <v/>
      </c>
      <c r="K165">
        <f t="shared" si="21"/>
        <v>316</v>
      </c>
      <c r="L165" t="str">
        <f t="shared" si="18"/>
        <v>ΣΤΕΡΕΑΣ ΕΛΛΑΔΑΣ</v>
      </c>
      <c r="M165" t="str">
        <f t="shared" si="19"/>
        <v>ΣΤΕΡΕΑΣ ΕΛΛΑΔΑΣ - ΛΕΒΑΔΕΩΝ</v>
      </c>
      <c r="N165">
        <f t="shared" si="22"/>
        <v>14254</v>
      </c>
      <c r="O165" t="str">
        <f t="shared" si="23"/>
        <v>Λεβαδέων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325</v>
      </c>
      <c r="L166" t="str">
        <f t="shared" si="18"/>
        <v>ΣΤΕΡΕΑΣ ΕΛΛΑΔΑΣ</v>
      </c>
      <c r="M166" t="str">
        <f t="shared" si="19"/>
        <v>ΣΤΕΡΕΑΣ ΕΛΛΑΔΑΣ - ΧΑΛΚΙΔΕΩΝ</v>
      </c>
      <c r="N166">
        <f t="shared" si="22"/>
        <v>14540</v>
      </c>
      <c r="O166" t="str">
        <f t="shared" si="23"/>
        <v>Χαλκιδέων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Μερική</v>
      </c>
      <c r="J167" t="str">
        <f t="shared" si="20"/>
        <v/>
      </c>
      <c r="K167" t="e">
        <f t="shared" si="21"/>
        <v>#NUM!</v>
      </c>
      <c r="L167" t="str">
        <f t="shared" si="18"/>
        <v/>
      </c>
      <c r="M167" t="str">
        <f t="shared" si="19"/>
        <v/>
      </c>
      <c r="N167" t="str">
        <f t="shared" si="22"/>
        <v/>
      </c>
      <c r="O167" t="str">
        <f t="shared" si="23"/>
        <v/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Μερική</v>
      </c>
      <c r="J168" t="str">
        <f t="shared" si="20"/>
        <v/>
      </c>
      <c r="K168" t="e">
        <f t="shared" si="21"/>
        <v>#NUM!</v>
      </c>
      <c r="L168" t="str">
        <f t="shared" si="18"/>
        <v/>
      </c>
      <c r="M168" t="str">
        <f t="shared" si="19"/>
        <v/>
      </c>
      <c r="N168" t="str">
        <f t="shared" si="22"/>
        <v/>
      </c>
      <c r="O168" t="str">
        <f t="shared" si="23"/>
        <v/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 t="e">
        <f t="shared" si="21"/>
        <v>#NUM!</v>
      </c>
      <c r="L169" t="str">
        <f t="shared" si="18"/>
        <v/>
      </c>
      <c r="M169" t="str">
        <f t="shared" si="19"/>
        <v/>
      </c>
      <c r="N169" t="str">
        <f t="shared" si="22"/>
        <v/>
      </c>
      <c r="O169" t="str">
        <f t="shared" si="23"/>
        <v/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Μερική</v>
      </c>
      <c r="J170" t="str">
        <f t="shared" si="20"/>
        <v/>
      </c>
      <c r="K170" t="e">
        <f t="shared" si="21"/>
        <v>#NUM!</v>
      </c>
      <c r="L170" t="str">
        <f t="shared" si="18"/>
        <v/>
      </c>
      <c r="M170" t="str">
        <f t="shared" si="19"/>
        <v/>
      </c>
      <c r="N170" t="str">
        <f t="shared" si="22"/>
        <v/>
      </c>
      <c r="O170" t="str">
        <f t="shared" si="23"/>
        <v/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Μερική</v>
      </c>
      <c r="J171" t="str">
        <f t="shared" si="20"/>
        <v/>
      </c>
      <c r="K171" t="e">
        <f t="shared" si="21"/>
        <v>#NUM!</v>
      </c>
      <c r="L171" t="str">
        <f t="shared" si="18"/>
        <v/>
      </c>
      <c r="M171" t="str">
        <f t="shared" si="19"/>
        <v/>
      </c>
      <c r="N171" t="str">
        <f t="shared" si="22"/>
        <v/>
      </c>
      <c r="O171" t="str">
        <f t="shared" si="23"/>
        <v/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Μερική</v>
      </c>
      <c r="J172" t="str">
        <f t="shared" si="20"/>
        <v/>
      </c>
      <c r="K172" t="e">
        <f t="shared" si="21"/>
        <v>#NUM!</v>
      </c>
      <c r="L172" t="str">
        <f t="shared" si="18"/>
        <v/>
      </c>
      <c r="M172" t="str">
        <f t="shared" si="19"/>
        <v/>
      </c>
      <c r="N172" t="str">
        <f t="shared" si="22"/>
        <v/>
      </c>
      <c r="O172" t="str">
        <f t="shared" si="23"/>
        <v/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 t="e">
        <f t="shared" si="21"/>
        <v>#NUM!</v>
      </c>
      <c r="L173" t="str">
        <f t="shared" si="18"/>
        <v/>
      </c>
      <c r="M173" t="str">
        <f t="shared" si="19"/>
        <v/>
      </c>
      <c r="N173" t="str">
        <f t="shared" si="22"/>
        <v/>
      </c>
      <c r="O173" t="str">
        <f t="shared" si="23"/>
        <v/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 t="e">
        <f t="shared" si="21"/>
        <v>#NUM!</v>
      </c>
      <c r="L174" t="str">
        <f t="shared" si="18"/>
        <v/>
      </c>
      <c r="M174" t="str">
        <f t="shared" si="19"/>
        <v/>
      </c>
      <c r="N174" t="str">
        <f t="shared" si="22"/>
        <v/>
      </c>
      <c r="O174" t="str">
        <f t="shared" si="23"/>
        <v/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 t="e">
        <f t="shared" si="21"/>
        <v>#NUM!</v>
      </c>
      <c r="L175" t="str">
        <f t="shared" si="18"/>
        <v/>
      </c>
      <c r="M175" t="str">
        <f t="shared" si="19"/>
        <v/>
      </c>
      <c r="N175" t="str">
        <f t="shared" si="22"/>
        <v/>
      </c>
      <c r="O175" t="str">
        <f t="shared" si="23"/>
        <v/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 t="e">
        <f t="shared" si="21"/>
        <v>#NUM!</v>
      </c>
      <c r="L176" t="str">
        <f t="shared" si="18"/>
        <v/>
      </c>
      <c r="M176" t="str">
        <f t="shared" si="19"/>
        <v/>
      </c>
      <c r="N176" t="str">
        <f t="shared" si="22"/>
        <v/>
      </c>
      <c r="O176" t="str">
        <f t="shared" si="23"/>
        <v/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 t="e">
        <f t="shared" si="21"/>
        <v>#NUM!</v>
      </c>
      <c r="L177" t="str">
        <f t="shared" si="18"/>
        <v/>
      </c>
      <c r="M177" t="str">
        <f t="shared" si="19"/>
        <v/>
      </c>
      <c r="N177" t="str">
        <f t="shared" si="22"/>
        <v/>
      </c>
      <c r="O177" t="str">
        <f t="shared" si="23"/>
        <v/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 t="e">
        <f t="shared" si="21"/>
        <v>#NUM!</v>
      </c>
      <c r="L178" t="str">
        <f t="shared" si="18"/>
        <v/>
      </c>
      <c r="M178" t="str">
        <f t="shared" si="19"/>
        <v/>
      </c>
      <c r="N178" t="str">
        <f t="shared" si="22"/>
        <v/>
      </c>
      <c r="O178" t="str">
        <f t="shared" si="23"/>
        <v/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Μερική</v>
      </c>
      <c r="J179" t="str">
        <f t="shared" si="20"/>
        <v/>
      </c>
      <c r="K179" t="e">
        <f t="shared" si="21"/>
        <v>#NUM!</v>
      </c>
      <c r="L179" t="str">
        <f t="shared" si="18"/>
        <v/>
      </c>
      <c r="M179" t="str">
        <f t="shared" si="19"/>
        <v/>
      </c>
      <c r="N179" t="str">
        <f t="shared" si="22"/>
        <v/>
      </c>
      <c r="O179" t="str">
        <f t="shared" si="23"/>
        <v/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Μερική</v>
      </c>
      <c r="J180" t="str">
        <f t="shared" si="20"/>
        <v/>
      </c>
      <c r="K180" t="e">
        <f t="shared" si="21"/>
        <v>#NUM!</v>
      </c>
      <c r="L180" t="str">
        <f t="shared" si="18"/>
        <v/>
      </c>
      <c r="M180" t="str">
        <f t="shared" si="19"/>
        <v/>
      </c>
      <c r="N180" t="str">
        <f t="shared" si="22"/>
        <v/>
      </c>
      <c r="O180" t="str">
        <f t="shared" si="23"/>
        <v/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 t="e">
        <f t="shared" si="21"/>
        <v>#NUM!</v>
      </c>
      <c r="L181" t="str">
        <f t="shared" si="18"/>
        <v/>
      </c>
      <c r="M181" t="str">
        <f t="shared" si="19"/>
        <v/>
      </c>
      <c r="N181" t="str">
        <f t="shared" si="22"/>
        <v/>
      </c>
      <c r="O181" t="str">
        <f t="shared" si="23"/>
        <v/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 t="e">
        <f t="shared" si="21"/>
        <v>#NUM!</v>
      </c>
      <c r="L182" t="str">
        <f t="shared" si="18"/>
        <v/>
      </c>
      <c r="M182" t="str">
        <f t="shared" si="19"/>
        <v/>
      </c>
      <c r="N182" t="str">
        <f t="shared" si="22"/>
        <v/>
      </c>
      <c r="O182" t="str">
        <f t="shared" si="23"/>
        <v/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>ΝΑΙ</v>
      </c>
      <c r="I183" t="str">
        <f>LOOKUP(B183,ΠΕΡΙΦΕΡΕΙΑ!$A$2:$A$14,ΠΕΡΙΦΕΡΕΙΑ!$B$2:$B$14)</f>
        <v>Μερική</v>
      </c>
      <c r="J183">
        <f t="shared" si="20"/>
        <v>182</v>
      </c>
      <c r="K183" t="e">
        <f t="shared" si="21"/>
        <v>#NUM!</v>
      </c>
      <c r="L183" t="str">
        <f t="shared" si="18"/>
        <v/>
      </c>
      <c r="M183" t="str">
        <f t="shared" si="19"/>
        <v/>
      </c>
      <c r="N183" t="str">
        <f t="shared" si="22"/>
        <v/>
      </c>
      <c r="O183" t="str">
        <f t="shared" si="23"/>
        <v/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>ΝΑΙ</v>
      </c>
      <c r="I184" t="str">
        <f>LOOKUP(B184,ΠΕΡΙΦΕΡΕΙΑ!$A$2:$A$14,ΠΕΡΙΦΕΡΕΙΑ!$B$2:$B$14)</f>
        <v>Μερική</v>
      </c>
      <c r="J184">
        <f t="shared" si="20"/>
        <v>183</v>
      </c>
      <c r="K184" t="e">
        <f t="shared" si="21"/>
        <v>#NUM!</v>
      </c>
      <c r="L184" t="str">
        <f t="shared" si="18"/>
        <v/>
      </c>
      <c r="M184" t="str">
        <f t="shared" si="19"/>
        <v/>
      </c>
      <c r="N184" t="str">
        <f t="shared" si="22"/>
        <v/>
      </c>
      <c r="O184" t="str">
        <f t="shared" si="23"/>
        <v/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 t="e">
        <f t="shared" si="21"/>
        <v>#NUM!</v>
      </c>
      <c r="L185" t="str">
        <f t="shared" si="18"/>
        <v/>
      </c>
      <c r="M185" t="str">
        <f t="shared" si="19"/>
        <v/>
      </c>
      <c r="N185" t="str">
        <f t="shared" si="22"/>
        <v/>
      </c>
      <c r="O185" t="str">
        <f t="shared" si="23"/>
        <v/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>ΝΑΙ</v>
      </c>
      <c r="I186" t="str">
        <f>LOOKUP(B186,ΠΕΡΙΦΕΡΕΙΑ!$A$2:$A$14,ΠΕΡΙΦΕΡΕΙΑ!$B$2:$B$14)</f>
        <v>Μερική</v>
      </c>
      <c r="J186">
        <f t="shared" si="20"/>
        <v>185</v>
      </c>
      <c r="K186" t="e">
        <f t="shared" si="21"/>
        <v>#NUM!</v>
      </c>
      <c r="L186" t="str">
        <f t="shared" si="18"/>
        <v/>
      </c>
      <c r="M186" t="str">
        <f t="shared" si="19"/>
        <v/>
      </c>
      <c r="N186" t="str">
        <f t="shared" si="22"/>
        <v/>
      </c>
      <c r="O186" t="str">
        <f t="shared" si="23"/>
        <v/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 t="e">
        <f t="shared" si="21"/>
        <v>#NUM!</v>
      </c>
      <c r="L187" t="str">
        <f t="shared" si="18"/>
        <v/>
      </c>
      <c r="M187" t="str">
        <f t="shared" si="19"/>
        <v/>
      </c>
      <c r="N187" t="str">
        <f t="shared" si="22"/>
        <v/>
      </c>
      <c r="O187" t="str">
        <f t="shared" si="23"/>
        <v/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 t="e">
        <f t="shared" si="21"/>
        <v>#NUM!</v>
      </c>
      <c r="L188" t="str">
        <f t="shared" si="18"/>
        <v/>
      </c>
      <c r="M188" t="str">
        <f t="shared" si="19"/>
        <v/>
      </c>
      <c r="N188" t="str">
        <f t="shared" si="22"/>
        <v/>
      </c>
      <c r="O188" t="str">
        <f t="shared" si="23"/>
        <v/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Μερική</v>
      </c>
      <c r="J189" t="str">
        <f t="shared" si="20"/>
        <v/>
      </c>
      <c r="K189" t="e">
        <f t="shared" si="21"/>
        <v>#NUM!</v>
      </c>
      <c r="L189" t="str">
        <f t="shared" si="18"/>
        <v/>
      </c>
      <c r="M189" t="str">
        <f t="shared" si="19"/>
        <v/>
      </c>
      <c r="N189" t="str">
        <f t="shared" si="22"/>
        <v/>
      </c>
      <c r="O189" t="str">
        <f t="shared" si="23"/>
        <v/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 t="e">
        <f t="shared" si="21"/>
        <v>#NUM!</v>
      </c>
      <c r="L190" t="str">
        <f t="shared" si="18"/>
        <v/>
      </c>
      <c r="M190" t="str">
        <f t="shared" si="19"/>
        <v/>
      </c>
      <c r="N190" t="str">
        <f t="shared" si="22"/>
        <v/>
      </c>
      <c r="O190" t="str">
        <f t="shared" si="23"/>
        <v/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 t="e">
        <f t="shared" si="21"/>
        <v>#NUM!</v>
      </c>
      <c r="L191" t="str">
        <f t="shared" si="18"/>
        <v/>
      </c>
      <c r="M191" t="str">
        <f t="shared" si="19"/>
        <v/>
      </c>
      <c r="N191" t="str">
        <f t="shared" si="22"/>
        <v/>
      </c>
      <c r="O191" t="str">
        <f t="shared" si="23"/>
        <v/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 t="e">
        <f t="shared" si="21"/>
        <v>#NUM!</v>
      </c>
      <c r="L192" t="str">
        <f t="shared" si="18"/>
        <v/>
      </c>
      <c r="M192" t="str">
        <f t="shared" si="19"/>
        <v/>
      </c>
      <c r="N192" t="str">
        <f t="shared" si="22"/>
        <v/>
      </c>
      <c r="O192" t="str">
        <f t="shared" si="23"/>
        <v/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 t="e">
        <f t="shared" si="21"/>
        <v>#NUM!</v>
      </c>
      <c r="L193" t="str">
        <f t="shared" si="18"/>
        <v/>
      </c>
      <c r="M193" t="str">
        <f t="shared" si="19"/>
        <v/>
      </c>
      <c r="N193" t="str">
        <f t="shared" si="22"/>
        <v/>
      </c>
      <c r="O193" t="str">
        <f t="shared" si="23"/>
        <v/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 t="e">
        <f t="shared" si="21"/>
        <v>#NUM!</v>
      </c>
      <c r="L194" t="str">
        <f t="shared" ref="L194:L257" si="26">IF(ISNUMBER(K194),LOOKUP(K194,A:A,B:B),"")</f>
        <v/>
      </c>
      <c r="M194" t="str">
        <f t="shared" ref="M194:M257" si="27">IF(ISNUMBER(K194),LOOKUP(K194,A:A,B:B)&amp;" - "&amp;LOOKUP(K194,A:A,D:D),"")</f>
        <v/>
      </c>
      <c r="N194" t="str">
        <f t="shared" si="22"/>
        <v/>
      </c>
      <c r="O194" t="str">
        <f t="shared" si="23"/>
        <v/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 t="e">
        <f t="shared" ref="K195:K258" si="29">SMALL(J:J,A195)</f>
        <v>#NUM!</v>
      </c>
      <c r="L195" t="str">
        <f t="shared" si="26"/>
        <v/>
      </c>
      <c r="M195" t="str">
        <f t="shared" si="27"/>
        <v/>
      </c>
      <c r="N195" t="str">
        <f t="shared" ref="N195:N258" si="30">IF(ISNUMBER(K195),LOOKUP(K195,A:A,G:G),"")</f>
        <v/>
      </c>
      <c r="O195" t="str">
        <f t="shared" ref="O195:O258" si="31">IF(ISNUMBER(K195),LOOKUP(K195,A:A,F:F),"")</f>
        <v/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 t="e">
        <f t="shared" si="29"/>
        <v>#NUM!</v>
      </c>
      <c r="L196" t="str">
        <f t="shared" si="26"/>
        <v/>
      </c>
      <c r="M196" t="str">
        <f t="shared" si="27"/>
        <v/>
      </c>
      <c r="N196" t="str">
        <f t="shared" si="30"/>
        <v/>
      </c>
      <c r="O196" t="str">
        <f t="shared" si="31"/>
        <v/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>ΝΑΙ</v>
      </c>
      <c r="I197" t="str">
        <f>LOOKUP(B197,ΠΕΡΙΦΕΡΕΙΑ!$A$2:$A$14,ΠΕΡΙΦΕΡΕΙΑ!$B$2:$B$14)</f>
        <v>Μερική</v>
      </c>
      <c r="J197">
        <f t="shared" si="28"/>
        <v>196</v>
      </c>
      <c r="K197" t="e">
        <f t="shared" si="29"/>
        <v>#NUM!</v>
      </c>
      <c r="L197" t="str">
        <f t="shared" si="26"/>
        <v/>
      </c>
      <c r="M197" t="str">
        <f t="shared" si="27"/>
        <v/>
      </c>
      <c r="N197" t="str">
        <f t="shared" si="30"/>
        <v/>
      </c>
      <c r="O197" t="str">
        <f t="shared" si="31"/>
        <v/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 t="e">
        <f t="shared" si="29"/>
        <v>#NUM!</v>
      </c>
      <c r="L198" t="str">
        <f t="shared" si="26"/>
        <v/>
      </c>
      <c r="M198" t="str">
        <f t="shared" si="27"/>
        <v/>
      </c>
      <c r="N198" t="str">
        <f t="shared" si="30"/>
        <v/>
      </c>
      <c r="O198" t="str">
        <f t="shared" si="31"/>
        <v/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 t="e">
        <f t="shared" si="29"/>
        <v>#NUM!</v>
      </c>
      <c r="L199" t="str">
        <f t="shared" si="26"/>
        <v/>
      </c>
      <c r="M199" t="str">
        <f t="shared" si="27"/>
        <v/>
      </c>
      <c r="N199" t="str">
        <f t="shared" si="30"/>
        <v/>
      </c>
      <c r="O199" t="str">
        <f t="shared" si="31"/>
        <v/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 t="e">
        <f t="shared" si="29"/>
        <v>#NUM!</v>
      </c>
      <c r="L200" t="str">
        <f t="shared" si="26"/>
        <v/>
      </c>
      <c r="M200" t="str">
        <f t="shared" si="27"/>
        <v/>
      </c>
      <c r="N200" t="str">
        <f t="shared" si="30"/>
        <v/>
      </c>
      <c r="O200" t="str">
        <f t="shared" si="31"/>
        <v/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 t="e">
        <f t="shared" si="29"/>
        <v>#NUM!</v>
      </c>
      <c r="L201" t="str">
        <f t="shared" si="26"/>
        <v/>
      </c>
      <c r="M201" t="str">
        <f t="shared" si="27"/>
        <v/>
      </c>
      <c r="N201" t="str">
        <f t="shared" si="30"/>
        <v/>
      </c>
      <c r="O201" t="str">
        <f t="shared" si="31"/>
        <v/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 t="e">
        <f t="shared" si="29"/>
        <v>#NUM!</v>
      </c>
      <c r="L202" t="str">
        <f t="shared" si="26"/>
        <v/>
      </c>
      <c r="M202" t="str">
        <f t="shared" si="27"/>
        <v/>
      </c>
      <c r="N202" t="str">
        <f t="shared" si="30"/>
        <v/>
      </c>
      <c r="O202" t="str">
        <f t="shared" si="31"/>
        <v/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 t="e">
        <f t="shared" si="29"/>
        <v>#NUM!</v>
      </c>
      <c r="L203" t="str">
        <f t="shared" si="26"/>
        <v/>
      </c>
      <c r="M203" t="str">
        <f t="shared" si="27"/>
        <v/>
      </c>
      <c r="N203" t="str">
        <f t="shared" si="30"/>
        <v/>
      </c>
      <c r="O203" t="str">
        <f t="shared" si="31"/>
        <v/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>ΝΑΙ</v>
      </c>
      <c r="I204" t="str">
        <f>LOOKUP(B204,ΠΕΡΙΦΕΡΕΙΑ!$A$2:$A$14,ΠΕΡΙΦΕΡΕΙΑ!$B$2:$B$14)</f>
        <v>Μερική</v>
      </c>
      <c r="J204">
        <f t="shared" si="28"/>
        <v>203</v>
      </c>
      <c r="K204" t="e">
        <f t="shared" si="29"/>
        <v>#NUM!</v>
      </c>
      <c r="L204" t="str">
        <f t="shared" si="26"/>
        <v/>
      </c>
      <c r="M204" t="str">
        <f t="shared" si="27"/>
        <v/>
      </c>
      <c r="N204" t="str">
        <f t="shared" si="30"/>
        <v/>
      </c>
      <c r="O204" t="str">
        <f t="shared" si="31"/>
        <v/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 t="e">
        <f t="shared" si="29"/>
        <v>#NUM!</v>
      </c>
      <c r="L205" t="str">
        <f t="shared" si="26"/>
        <v/>
      </c>
      <c r="M205" t="str">
        <f t="shared" si="27"/>
        <v/>
      </c>
      <c r="N205" t="str">
        <f t="shared" si="30"/>
        <v/>
      </c>
      <c r="O205" t="str">
        <f t="shared" si="31"/>
        <v/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>ΝΑΙ</v>
      </c>
      <c r="I206" t="str">
        <f>LOOKUP(B206,ΠΕΡΙΦΕΡΕΙΑ!$A$2:$A$14,ΠΕΡΙΦΕΡΕΙΑ!$B$2:$B$14)</f>
        <v>Μερική</v>
      </c>
      <c r="J206">
        <f t="shared" si="28"/>
        <v>205</v>
      </c>
      <c r="K206" t="e">
        <f t="shared" si="29"/>
        <v>#NUM!</v>
      </c>
      <c r="L206" t="str">
        <f t="shared" si="26"/>
        <v/>
      </c>
      <c r="M206" t="str">
        <f t="shared" si="27"/>
        <v/>
      </c>
      <c r="N206" t="str">
        <f t="shared" si="30"/>
        <v/>
      </c>
      <c r="O206" t="str">
        <f t="shared" si="31"/>
        <v/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 t="e">
        <f t="shared" si="29"/>
        <v>#NUM!</v>
      </c>
      <c r="L207" t="str">
        <f t="shared" si="26"/>
        <v/>
      </c>
      <c r="M207" t="str">
        <f t="shared" si="27"/>
        <v/>
      </c>
      <c r="N207" t="str">
        <f t="shared" si="30"/>
        <v/>
      </c>
      <c r="O207" t="str">
        <f t="shared" si="31"/>
        <v/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 t="e">
        <f t="shared" si="29"/>
        <v>#NUM!</v>
      </c>
      <c r="L208" t="str">
        <f t="shared" si="26"/>
        <v/>
      </c>
      <c r="M208" t="str">
        <f t="shared" si="27"/>
        <v/>
      </c>
      <c r="N208" t="str">
        <f t="shared" si="30"/>
        <v/>
      </c>
      <c r="O208" t="str">
        <f t="shared" si="31"/>
        <v/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 t="e">
        <f t="shared" si="29"/>
        <v>#NUM!</v>
      </c>
      <c r="L209" t="str">
        <f t="shared" si="26"/>
        <v/>
      </c>
      <c r="M209" t="str">
        <f t="shared" si="27"/>
        <v/>
      </c>
      <c r="N209" t="str">
        <f t="shared" si="30"/>
        <v/>
      </c>
      <c r="O209" t="str">
        <f t="shared" si="31"/>
        <v/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Μερική</v>
      </c>
      <c r="J210" t="str">
        <f t="shared" si="28"/>
        <v/>
      </c>
      <c r="K210" t="e">
        <f t="shared" si="29"/>
        <v>#NUM!</v>
      </c>
      <c r="L210" t="str">
        <f t="shared" si="26"/>
        <v/>
      </c>
      <c r="M210" t="str">
        <f t="shared" si="27"/>
        <v/>
      </c>
      <c r="N210" t="str">
        <f t="shared" si="30"/>
        <v/>
      </c>
      <c r="O210" t="str">
        <f t="shared" si="31"/>
        <v/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 t="e">
        <f t="shared" si="29"/>
        <v>#NUM!</v>
      </c>
      <c r="L211" t="str">
        <f t="shared" si="26"/>
        <v/>
      </c>
      <c r="M211" t="str">
        <f t="shared" si="27"/>
        <v/>
      </c>
      <c r="N211" t="str">
        <f t="shared" si="30"/>
        <v/>
      </c>
      <c r="O211" t="str">
        <f t="shared" si="31"/>
        <v/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 t="e">
        <f t="shared" si="29"/>
        <v>#NUM!</v>
      </c>
      <c r="L212" t="str">
        <f t="shared" si="26"/>
        <v/>
      </c>
      <c r="M212" t="str">
        <f t="shared" si="27"/>
        <v/>
      </c>
      <c r="N212" t="str">
        <f t="shared" si="30"/>
        <v/>
      </c>
      <c r="O212" t="str">
        <f t="shared" si="31"/>
        <v/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 t="e">
        <f t="shared" si="29"/>
        <v>#NUM!</v>
      </c>
      <c r="L213" t="str">
        <f t="shared" si="26"/>
        <v/>
      </c>
      <c r="M213" t="str">
        <f t="shared" si="27"/>
        <v/>
      </c>
      <c r="N213" t="str">
        <f t="shared" si="30"/>
        <v/>
      </c>
      <c r="O213" t="str">
        <f t="shared" si="31"/>
        <v/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>ΝΑΙ</v>
      </c>
      <c r="I214" t="str">
        <f>LOOKUP(B214,ΠΕΡΙΦΕΡΕΙΑ!$A$2:$A$14,ΠΕΡΙΦΕΡΕΙΑ!$B$2:$B$14)</f>
        <v>Μερική</v>
      </c>
      <c r="J214">
        <f t="shared" si="28"/>
        <v>213</v>
      </c>
      <c r="K214" t="e">
        <f t="shared" si="29"/>
        <v>#NUM!</v>
      </c>
      <c r="L214" t="str">
        <f t="shared" si="26"/>
        <v/>
      </c>
      <c r="M214" t="str">
        <f t="shared" si="27"/>
        <v/>
      </c>
      <c r="N214" t="str">
        <f t="shared" si="30"/>
        <v/>
      </c>
      <c r="O214" t="str">
        <f t="shared" si="31"/>
        <v/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 t="e">
        <f t="shared" si="29"/>
        <v>#NUM!</v>
      </c>
      <c r="L215" t="str">
        <f t="shared" si="26"/>
        <v/>
      </c>
      <c r="M215" t="str">
        <f t="shared" si="27"/>
        <v/>
      </c>
      <c r="N215" t="str">
        <f t="shared" si="30"/>
        <v/>
      </c>
      <c r="O215" t="str">
        <f t="shared" si="31"/>
        <v/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 t="e">
        <f t="shared" si="29"/>
        <v>#NUM!</v>
      </c>
      <c r="L216" t="str">
        <f t="shared" si="26"/>
        <v/>
      </c>
      <c r="M216" t="str">
        <f t="shared" si="27"/>
        <v/>
      </c>
      <c r="N216" t="str">
        <f t="shared" si="30"/>
        <v/>
      </c>
      <c r="O216" t="str">
        <f t="shared" si="31"/>
        <v/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 t="e">
        <f t="shared" si="29"/>
        <v>#NUM!</v>
      </c>
      <c r="L217" t="str">
        <f t="shared" si="26"/>
        <v/>
      </c>
      <c r="M217" t="str">
        <f t="shared" si="27"/>
        <v/>
      </c>
      <c r="N217" t="str">
        <f t="shared" si="30"/>
        <v/>
      </c>
      <c r="O217" t="str">
        <f t="shared" si="31"/>
        <v/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 t="e">
        <f t="shared" si="29"/>
        <v>#NUM!</v>
      </c>
      <c r="L218" t="str">
        <f t="shared" si="26"/>
        <v/>
      </c>
      <c r="M218" t="str">
        <f t="shared" si="27"/>
        <v/>
      </c>
      <c r="N218" t="str">
        <f t="shared" si="30"/>
        <v/>
      </c>
      <c r="O218" t="str">
        <f t="shared" si="31"/>
        <v/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 t="e">
        <f t="shared" si="29"/>
        <v>#NUM!</v>
      </c>
      <c r="L219" t="str">
        <f t="shared" si="26"/>
        <v/>
      </c>
      <c r="M219" t="str">
        <f t="shared" si="27"/>
        <v/>
      </c>
      <c r="N219" t="str">
        <f t="shared" si="30"/>
        <v/>
      </c>
      <c r="O219" t="str">
        <f t="shared" si="31"/>
        <v/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 t="e">
        <f t="shared" si="29"/>
        <v>#NUM!</v>
      </c>
      <c r="L220" t="str">
        <f t="shared" si="26"/>
        <v/>
      </c>
      <c r="M220" t="str">
        <f t="shared" si="27"/>
        <v/>
      </c>
      <c r="N220" t="str">
        <f t="shared" si="30"/>
        <v/>
      </c>
      <c r="O220" t="str">
        <f t="shared" si="31"/>
        <v/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 t="e">
        <f t="shared" si="29"/>
        <v>#NUM!</v>
      </c>
      <c r="L221" t="str">
        <f t="shared" si="26"/>
        <v/>
      </c>
      <c r="M221" t="str">
        <f t="shared" si="27"/>
        <v/>
      </c>
      <c r="N221" t="str">
        <f t="shared" si="30"/>
        <v/>
      </c>
      <c r="O221" t="str">
        <f t="shared" si="31"/>
        <v/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 t="e">
        <f t="shared" si="29"/>
        <v>#NUM!</v>
      </c>
      <c r="L222" t="str">
        <f t="shared" si="26"/>
        <v/>
      </c>
      <c r="M222" t="str">
        <f t="shared" si="27"/>
        <v/>
      </c>
      <c r="N222" t="str">
        <f t="shared" si="30"/>
        <v/>
      </c>
      <c r="O222" t="str">
        <f t="shared" si="31"/>
        <v/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 t="e">
        <f t="shared" si="29"/>
        <v>#NUM!</v>
      </c>
      <c r="L223" t="str">
        <f t="shared" si="26"/>
        <v/>
      </c>
      <c r="M223" t="str">
        <f t="shared" si="27"/>
        <v/>
      </c>
      <c r="N223" t="str">
        <f t="shared" si="30"/>
        <v/>
      </c>
      <c r="O223" t="str">
        <f t="shared" si="31"/>
        <v/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Μερική</v>
      </c>
      <c r="J224" t="str">
        <f t="shared" si="28"/>
        <v/>
      </c>
      <c r="K224" t="e">
        <f t="shared" si="29"/>
        <v>#NUM!</v>
      </c>
      <c r="L224" t="str">
        <f t="shared" si="26"/>
        <v/>
      </c>
      <c r="M224" t="str">
        <f t="shared" si="27"/>
        <v/>
      </c>
      <c r="N224" t="str">
        <f t="shared" si="30"/>
        <v/>
      </c>
      <c r="O224" t="str">
        <f t="shared" si="31"/>
        <v/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 t="e">
        <f t="shared" si="29"/>
        <v>#NUM!</v>
      </c>
      <c r="L225" t="str">
        <f t="shared" si="26"/>
        <v/>
      </c>
      <c r="M225" t="str">
        <f t="shared" si="27"/>
        <v/>
      </c>
      <c r="N225" t="str">
        <f t="shared" si="30"/>
        <v/>
      </c>
      <c r="O225" t="str">
        <f t="shared" si="31"/>
        <v/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 t="e">
        <f t="shared" si="29"/>
        <v>#NUM!</v>
      </c>
      <c r="L226" t="str">
        <f t="shared" si="26"/>
        <v/>
      </c>
      <c r="M226" t="str">
        <f t="shared" si="27"/>
        <v/>
      </c>
      <c r="N226" t="str">
        <f t="shared" si="30"/>
        <v/>
      </c>
      <c r="O226" t="str">
        <f t="shared" si="31"/>
        <v/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 t="e">
        <f t="shared" si="29"/>
        <v>#NUM!</v>
      </c>
      <c r="L227" t="str">
        <f t="shared" si="26"/>
        <v/>
      </c>
      <c r="M227" t="str">
        <f t="shared" si="27"/>
        <v/>
      </c>
      <c r="N227" t="str">
        <f t="shared" si="30"/>
        <v/>
      </c>
      <c r="O227" t="str">
        <f t="shared" si="31"/>
        <v/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 t="e">
        <f t="shared" si="29"/>
        <v>#NUM!</v>
      </c>
      <c r="L228" t="str">
        <f t="shared" si="26"/>
        <v/>
      </c>
      <c r="M228" t="str">
        <f t="shared" si="27"/>
        <v/>
      </c>
      <c r="N228" t="str">
        <f t="shared" si="30"/>
        <v/>
      </c>
      <c r="O228" t="str">
        <f t="shared" si="31"/>
        <v/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Μερική</v>
      </c>
      <c r="J229" t="str">
        <f t="shared" si="28"/>
        <v/>
      </c>
      <c r="K229" t="e">
        <f t="shared" si="29"/>
        <v>#NUM!</v>
      </c>
      <c r="L229" t="str">
        <f t="shared" si="26"/>
        <v/>
      </c>
      <c r="M229" t="str">
        <f t="shared" si="27"/>
        <v/>
      </c>
      <c r="N229" t="str">
        <f t="shared" si="30"/>
        <v/>
      </c>
      <c r="O229" t="str">
        <f t="shared" si="31"/>
        <v/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Μερική</v>
      </c>
      <c r="J230" t="str">
        <f t="shared" si="28"/>
        <v/>
      </c>
      <c r="K230" t="e">
        <f t="shared" si="29"/>
        <v>#NUM!</v>
      </c>
      <c r="L230" t="str">
        <f t="shared" si="26"/>
        <v/>
      </c>
      <c r="M230" t="str">
        <f t="shared" si="27"/>
        <v/>
      </c>
      <c r="N230" t="str">
        <f t="shared" si="30"/>
        <v/>
      </c>
      <c r="O230" t="str">
        <f t="shared" si="31"/>
        <v/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Μερική</v>
      </c>
      <c r="J231" t="str">
        <f t="shared" si="28"/>
        <v/>
      </c>
      <c r="K231" t="e">
        <f t="shared" si="29"/>
        <v>#NUM!</v>
      </c>
      <c r="L231" t="str">
        <f t="shared" si="26"/>
        <v/>
      </c>
      <c r="M231" t="str">
        <f t="shared" si="27"/>
        <v/>
      </c>
      <c r="N231" t="str">
        <f t="shared" si="30"/>
        <v/>
      </c>
      <c r="O231" t="str">
        <f t="shared" si="31"/>
        <v/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 t="e">
        <f t="shared" si="29"/>
        <v>#NUM!</v>
      </c>
      <c r="L232" t="str">
        <f t="shared" si="26"/>
        <v/>
      </c>
      <c r="M232" t="str">
        <f t="shared" si="27"/>
        <v/>
      </c>
      <c r="N232" t="str">
        <f t="shared" si="30"/>
        <v/>
      </c>
      <c r="O232" t="str">
        <f t="shared" si="31"/>
        <v/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 t="e">
        <f t="shared" si="29"/>
        <v>#NUM!</v>
      </c>
      <c r="L233" t="str">
        <f t="shared" si="26"/>
        <v/>
      </c>
      <c r="M233" t="str">
        <f t="shared" si="27"/>
        <v/>
      </c>
      <c r="N233" t="str">
        <f t="shared" si="30"/>
        <v/>
      </c>
      <c r="O233" t="str">
        <f t="shared" si="31"/>
        <v/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 t="e">
        <f t="shared" si="29"/>
        <v>#NUM!</v>
      </c>
      <c r="L234" t="str">
        <f t="shared" si="26"/>
        <v/>
      </c>
      <c r="M234" t="str">
        <f t="shared" si="27"/>
        <v/>
      </c>
      <c r="N234" t="str">
        <f t="shared" si="30"/>
        <v/>
      </c>
      <c r="O234" t="str">
        <f t="shared" si="31"/>
        <v/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 t="e">
        <f t="shared" si="29"/>
        <v>#NUM!</v>
      </c>
      <c r="L235" t="str">
        <f t="shared" si="26"/>
        <v/>
      </c>
      <c r="M235" t="str">
        <f t="shared" si="27"/>
        <v/>
      </c>
      <c r="N235" t="str">
        <f t="shared" si="30"/>
        <v/>
      </c>
      <c r="O235" t="str">
        <f t="shared" si="31"/>
        <v/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 t="e">
        <f t="shared" si="29"/>
        <v>#NUM!</v>
      </c>
      <c r="L236" t="str">
        <f t="shared" si="26"/>
        <v/>
      </c>
      <c r="M236" t="str">
        <f t="shared" si="27"/>
        <v/>
      </c>
      <c r="N236" t="str">
        <f t="shared" si="30"/>
        <v/>
      </c>
      <c r="O236" t="str">
        <f t="shared" si="31"/>
        <v/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Μερική</v>
      </c>
      <c r="J238" t="str">
        <f t="shared" si="28"/>
        <v/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Μερική</v>
      </c>
      <c r="J245" t="str">
        <f t="shared" si="28"/>
        <v/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Μερική</v>
      </c>
      <c r="J247" t="str">
        <f t="shared" si="28"/>
        <v/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Μερική</v>
      </c>
      <c r="J248" t="str">
        <f t="shared" si="28"/>
        <v/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>ΝΑΙ</v>
      </c>
      <c r="I251" t="str">
        <f>LOOKUP(B251,ΠΕΡΙΦΕΡΕΙΑ!$A$2:$A$14,ΠΕΡΙΦΕΡΕΙΑ!$B$2:$B$14)</f>
        <v>Μερική</v>
      </c>
      <c r="J251">
        <f t="shared" si="28"/>
        <v>250</v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Μερική</v>
      </c>
      <c r="J260" t="str">
        <f t="shared" si="36"/>
        <v/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Μερική</v>
      </c>
      <c r="J262" t="str">
        <f t="shared" si="36"/>
        <v/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Μερική</v>
      </c>
      <c r="J264" t="str">
        <f t="shared" si="36"/>
        <v/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>ΝΑΙ</v>
      </c>
      <c r="I265" t="str">
        <f>LOOKUP(B265,ΠΕΡΙΦΕΡΕΙΑ!$A$2:$A$14,ΠΕΡΙΦΕΡΕΙΑ!$B$2:$B$14)</f>
        <v>Μερική</v>
      </c>
      <c r="J265">
        <f t="shared" si="36"/>
        <v>264</v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Μερική</v>
      </c>
      <c r="J267" t="str">
        <f t="shared" si="36"/>
        <v/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Μερική</v>
      </c>
      <c r="J271" t="str">
        <f t="shared" si="36"/>
        <v/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Μερική</v>
      </c>
      <c r="J273" t="str">
        <f t="shared" si="36"/>
        <v/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Μερική</v>
      </c>
      <c r="J278" t="str">
        <f t="shared" si="36"/>
        <v/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Μερική</v>
      </c>
      <c r="J279" t="str">
        <f t="shared" si="36"/>
        <v/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Μερική</v>
      </c>
      <c r="J281" t="str">
        <f t="shared" si="36"/>
        <v/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Μερική</v>
      </c>
      <c r="J284" t="str">
        <f t="shared" si="36"/>
        <v/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Μερική</v>
      </c>
      <c r="J285" t="str">
        <f t="shared" si="36"/>
        <v/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Μερική</v>
      </c>
      <c r="J289" t="str">
        <f t="shared" si="36"/>
        <v/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Μερική</v>
      </c>
      <c r="J290" t="str">
        <f t="shared" si="36"/>
        <v/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Μερική</v>
      </c>
      <c r="J291" t="str">
        <f t="shared" si="36"/>
        <v/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Μερική</v>
      </c>
      <c r="J293" t="str">
        <f t="shared" si="36"/>
        <v/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Μερική</v>
      </c>
      <c r="J295" t="str">
        <f t="shared" si="36"/>
        <v/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Μερική</v>
      </c>
      <c r="J297" t="str">
        <f t="shared" si="36"/>
        <v/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Μερική</v>
      </c>
      <c r="J298" t="str">
        <f t="shared" si="36"/>
        <v/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Μερική</v>
      </c>
      <c r="J301" t="str">
        <f t="shared" si="36"/>
        <v/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Μερική</v>
      </c>
      <c r="J303" t="str">
        <f t="shared" si="36"/>
        <v/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Μερική</v>
      </c>
      <c r="J304" t="str">
        <f t="shared" si="36"/>
        <v/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Μερική</v>
      </c>
      <c r="J305" t="str">
        <f t="shared" si="36"/>
        <v/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Μερική</v>
      </c>
      <c r="J306" t="str">
        <f t="shared" si="36"/>
        <v/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Μερική</v>
      </c>
      <c r="J307" t="str">
        <f t="shared" si="36"/>
        <v/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Μερική</v>
      </c>
      <c r="J308" t="str">
        <f t="shared" si="36"/>
        <v/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Μερική</v>
      </c>
      <c r="J309" t="str">
        <f t="shared" si="36"/>
        <v/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Μερική</v>
      </c>
      <c r="J310" t="str">
        <f t="shared" si="36"/>
        <v/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Μερική</v>
      </c>
      <c r="J312" t="str">
        <f t="shared" si="36"/>
        <v/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Μερική</v>
      </c>
      <c r="J313" t="str">
        <f t="shared" si="36"/>
        <v/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Μερική</v>
      </c>
      <c r="J314" t="str">
        <f t="shared" si="36"/>
        <v/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Μερική</v>
      </c>
      <c r="J315" t="str">
        <f t="shared" si="36"/>
        <v/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Μερική</v>
      </c>
      <c r="J318" t="str">
        <f t="shared" si="36"/>
        <v/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Μερική</v>
      </c>
      <c r="J321" t="str">
        <f t="shared" si="36"/>
        <v/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Μερική</v>
      </c>
      <c r="J322" t="str">
        <f t="shared" si="36"/>
        <v/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Μερική</v>
      </c>
      <c r="J324" t="str">
        <f>IF(OR(AND(I324="Μερική",H324="ΝΑΙ"),I324="Ολική"),A324,"")</f>
        <v/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Μερική</v>
      </c>
      <c r="J325" t="str">
        <f>IF(OR(AND(I325="Μερική",H325="ΝΑΙ"),I325="Ολική"),A325,"")</f>
        <v/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80" zoomScaleNormal="80" workbookViewId="0">
      <selection activeCell="E4" sqref="E4"/>
    </sheetView>
  </sheetViews>
  <sheetFormatPr defaultColWidth="0" defaultRowHeight="15" zeroHeight="1" x14ac:dyDescent="0.25"/>
  <cols>
    <col min="1" max="1" width="50" style="132" customWidth="1"/>
    <col min="2" max="4" width="23" style="132" hidden="1" customWidth="1"/>
    <col min="5" max="5" width="48.85546875" style="132" bestFit="1" customWidth="1"/>
    <col min="6" max="6" width="44.140625" style="132" customWidth="1"/>
    <col min="7" max="7" width="17.28515625" style="132" customWidth="1"/>
    <col min="8" max="8" width="36.42578125" style="132" customWidth="1"/>
    <col min="9" max="9" width="24" style="132" hidden="1" customWidth="1"/>
    <col min="10" max="10" width="33.85546875" style="132" customWidth="1"/>
    <col min="11" max="11" width="7.140625" style="132" customWidth="1"/>
    <col min="12" max="12" width="13" style="132" customWidth="1"/>
    <col min="13" max="13" width="58.85546875" style="132" customWidth="1"/>
    <col min="14" max="16384" width="9.140625" style="132" hidden="1"/>
  </cols>
  <sheetData>
    <row r="1" spans="1:13" ht="15.75" hidden="1" thickBot="1" x14ac:dyDescent="0.3">
      <c r="A1" t="s">
        <v>478</v>
      </c>
      <c r="B1" t="s">
        <v>479</v>
      </c>
      <c r="C1" s="152" t="s">
        <v>538</v>
      </c>
      <c r="D1" s="152" t="s">
        <v>539</v>
      </c>
      <c r="E1" s="82" t="s">
        <v>480</v>
      </c>
      <c r="F1" s="82" t="s">
        <v>873</v>
      </c>
      <c r="G1" s="82" t="s">
        <v>481</v>
      </c>
      <c r="H1" s="82" t="s">
        <v>482</v>
      </c>
      <c r="I1" s="82" t="s">
        <v>483</v>
      </c>
      <c r="J1" s="82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5" t="s">
        <v>514</v>
      </c>
      <c r="I2" s="75" t="s">
        <v>450</v>
      </c>
      <c r="J2" s="76" t="s">
        <v>420</v>
      </c>
      <c r="L2" s="88" t="s">
        <v>448</v>
      </c>
      <c r="M2" s="89" t="s">
        <v>525</v>
      </c>
    </row>
    <row r="3" spans="1:13" ht="60" customHeight="1" thickTop="1" x14ac:dyDescent="0.25">
      <c r="A3" s="79" t="s">
        <v>456</v>
      </c>
      <c r="B3" s="5" t="str">
        <f>ΓΕΝΙΚΑ!C4</f>
        <v>FORTHNET</v>
      </c>
      <c r="C3" s="151"/>
      <c r="D3" s="151"/>
      <c r="E3" s="97" t="s">
        <v>880</v>
      </c>
      <c r="F3" s="194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3" s="123" t="s">
        <v>461</v>
      </c>
      <c r="H3" s="127">
        <f>$H$5</f>
        <v>0.04</v>
      </c>
      <c r="I3" s="189">
        <f>IF(ISNUMBER(H$5),ROUND(H$5,2),"")</f>
        <v>0.04</v>
      </c>
      <c r="J3" s="83"/>
      <c r="L3" s="85" t="str">
        <f>IF(M3="","","ΣΦΑΛΜΑ")</f>
        <v/>
      </c>
      <c r="M3" s="103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4" t="str">
        <f t="shared" ref="B4:B11" si="1">$B$3</f>
        <v>FORTHNET</v>
      </c>
      <c r="C4" s="151"/>
      <c r="D4" s="151"/>
      <c r="E4" s="192" t="s">
        <v>881</v>
      </c>
      <c r="F4" s="194" t="str">
        <f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4" s="193" t="s">
        <v>461</v>
      </c>
      <c r="H4" s="128">
        <f>$H$5</f>
        <v>0.04</v>
      </c>
      <c r="I4" s="189">
        <f>IF(ISNUMBER(H$5),ROUND(H$5,2),"")</f>
        <v>0.04</v>
      </c>
      <c r="J4" s="159">
        <f t="shared" ref="J4:J11" si="2">J$3</f>
        <v>0</v>
      </c>
      <c r="L4" s="86" t="str">
        <f t="shared" ref="L4:L12" si="3">IF(M4="","","ΣΦΑΛΜΑ")</f>
        <v/>
      </c>
      <c r="M4" s="103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4" t="str">
        <f t="shared" si="1"/>
        <v>FORTHNET</v>
      </c>
      <c r="C5" s="151">
        <v>15300</v>
      </c>
      <c r="D5" s="151" t="s">
        <v>486</v>
      </c>
      <c r="E5" s="192" t="s">
        <v>882</v>
      </c>
      <c r="F5" s="197" t="str">
        <f>CONCATENATE(E3,", ",E4,", ",E5,", ",E6,", ",E7)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5" s="193" t="s">
        <v>461</v>
      </c>
      <c r="H5" s="126">
        <v>0.04</v>
      </c>
      <c r="I5" s="189">
        <f>IF(ISNUMBER(H$5),ROUND(H$5,2),"")</f>
        <v>0.04</v>
      </c>
      <c r="J5" s="159">
        <f t="shared" si="2"/>
        <v>0</v>
      </c>
      <c r="L5" s="86" t="str">
        <f t="shared" si="3"/>
        <v/>
      </c>
      <c r="M5" s="103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4" t="str">
        <f t="shared" si="1"/>
        <v>FORTHNET</v>
      </c>
      <c r="C6" s="151"/>
      <c r="D6" s="151"/>
      <c r="E6" s="192" t="s">
        <v>879</v>
      </c>
      <c r="F6" s="194" t="str">
        <f t="shared" ref="F6:F12" si="4">F$5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6" s="193" t="s">
        <v>461</v>
      </c>
      <c r="H6" s="128">
        <f>$H$5</f>
        <v>0.04</v>
      </c>
      <c r="I6" s="189">
        <f>IF(ISNUMBER(H$5),ROUND(H$5,2),"")</f>
        <v>0.04</v>
      </c>
      <c r="J6" s="159">
        <f t="shared" si="2"/>
        <v>0</v>
      </c>
      <c r="L6" s="86" t="str">
        <f t="shared" si="3"/>
        <v/>
      </c>
      <c r="M6" s="103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FORTHNET</v>
      </c>
      <c r="C7" s="187"/>
      <c r="D7" s="187"/>
      <c r="E7" s="188" t="s">
        <v>883</v>
      </c>
      <c r="F7" s="195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7" s="73" t="s">
        <v>461</v>
      </c>
      <c r="H7" s="129">
        <f>$H$5</f>
        <v>0.04</v>
      </c>
      <c r="I7" s="190">
        <f>IF(ISNUMBER(H$5),ROUND(H$5,2),"")</f>
        <v>0.04</v>
      </c>
      <c r="J7" s="160">
        <f t="shared" si="2"/>
        <v>0</v>
      </c>
      <c r="L7" s="86" t="str">
        <f t="shared" si="3"/>
        <v/>
      </c>
      <c r="M7" s="103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5" t="str">
        <f t="shared" si="1"/>
        <v>FORTHNET</v>
      </c>
      <c r="C8" s="151"/>
      <c r="D8" s="151"/>
      <c r="E8" s="186" t="str">
        <f>IF(E3="","",E3)</f>
        <v>ΚΕΝΤΡΙΚΗΣ ΜΑΚΕΔΟΝΙΑΣ - ΘΕΣΣΑΛΟΝΙΚΗΣ</v>
      </c>
      <c r="F8" s="194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8" s="123" t="s">
        <v>462</v>
      </c>
      <c r="H8" s="128">
        <f>$H$10</f>
        <v>0.16</v>
      </c>
      <c r="I8" s="189">
        <f>IF(ISNUMBER(H$10),ROUND(H$10,2),"")</f>
        <v>0.16</v>
      </c>
      <c r="J8" s="159">
        <f t="shared" si="2"/>
        <v>0</v>
      </c>
      <c r="L8" s="86" t="str">
        <f t="shared" si="3"/>
        <v/>
      </c>
      <c r="M8" s="103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4" t="str">
        <f t="shared" si="1"/>
        <v>FORTHNET</v>
      </c>
      <c r="C9" s="151"/>
      <c r="D9" s="151"/>
      <c r="E9" s="196" t="str">
        <f>IF(E4="","",E4)</f>
        <v>ΠΕΛΟΠΟΝΝΗΣΟΥ - ΤΡΙΠΟΛΗΣ</v>
      </c>
      <c r="F9" s="194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9" s="193" t="s">
        <v>462</v>
      </c>
      <c r="H9" s="128">
        <f>$H$10</f>
        <v>0.16</v>
      </c>
      <c r="I9" s="191">
        <f>IF(ISNUMBER(H$10),ROUND(H$10,2),"")</f>
        <v>0.16</v>
      </c>
      <c r="J9" s="159">
        <f t="shared" si="2"/>
        <v>0</v>
      </c>
      <c r="L9" s="86" t="str">
        <f t="shared" si="3"/>
        <v/>
      </c>
      <c r="M9" s="103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4" t="str">
        <f t="shared" si="1"/>
        <v>FORTHNET</v>
      </c>
      <c r="C10" s="151">
        <v>15300</v>
      </c>
      <c r="D10" s="151" t="s">
        <v>486</v>
      </c>
      <c r="E10" s="196" t="str">
        <f>IF(E5="","",E5)</f>
        <v>ΘΕΣΣΑΛΙΑΣ - ΛΑΡΙΣΑΙΩΝ</v>
      </c>
      <c r="F10" s="198" t="str">
        <f>F5</f>
        <v>ΚΕΝΤΡΙΚΗΣ ΜΑΚΕΔΟΝΙΑΣ - ΘΕΣΣΑΛΟΝΙΚΗΣ, ΠΕΛΟΠΟΝΝΗΣΟΥ - ΤΡΙΠΟΛΗΣ, ΘΕΣΣΑΛΙΑΣ - ΛΑΡΙΣΑΙΩΝ, ΑΤΤΙΚΗΣ - ΑΘΗΝΑΙΩΝ, ΔΥΤΙΚΗΣ ΕΛΛΑΔΑΣ - ΠΑΤΡΕΩΝ</v>
      </c>
      <c r="G10" s="193" t="s">
        <v>462</v>
      </c>
      <c r="H10" s="126">
        <v>0.16</v>
      </c>
      <c r="I10" s="191">
        <f>IF(ISNUMBER(H$10),ROUND(H$10,2),"")</f>
        <v>0.16</v>
      </c>
      <c r="J10" s="159">
        <f t="shared" si="2"/>
        <v>0</v>
      </c>
      <c r="L10" s="86" t="str">
        <f t="shared" si="3"/>
        <v/>
      </c>
      <c r="M10" s="103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4" t="str">
        <f t="shared" si="1"/>
        <v>FORTHNET</v>
      </c>
      <c r="C11" s="151"/>
      <c r="D11" s="151"/>
      <c r="E11" s="196" t="str">
        <f>IF(E6="","",E6)</f>
        <v>ΑΤΤΙΚΗΣ - ΑΘΗΝΑΙΩΝ</v>
      </c>
      <c r="F11" s="194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1" s="193" t="s">
        <v>462</v>
      </c>
      <c r="H11" s="128">
        <f>$H$10</f>
        <v>0.16</v>
      </c>
      <c r="I11" s="191">
        <f>IF(ISNUMBER(H$10),ROUND(H$10,2),"")</f>
        <v>0.16</v>
      </c>
      <c r="J11" s="159">
        <f t="shared" si="2"/>
        <v>0</v>
      </c>
      <c r="L11" s="86" t="str">
        <f t="shared" si="3"/>
        <v/>
      </c>
      <c r="M11" s="103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FORTHNET</v>
      </c>
      <c r="C12" s="151"/>
      <c r="D12" s="151"/>
      <c r="E12" s="81" t="str">
        <f>IF(E7="","",E7)</f>
        <v>ΔΥΤΙΚΗΣ ΕΛΛΑΔΑΣ - ΠΑΤΡΕΩΝ</v>
      </c>
      <c r="F12" s="184" t="str">
        <f t="shared" si="4"/>
        <v>ΚΕΝΤΡΙΚΗΣ ΜΑΚΕΔΟΝΙΑΣ - ΘΕΣΣΑΛΟΝΙΚΗΣ, ΠΕΛΟΠΟΝΝΗΣΟΥ - ΤΡΙΠΟΛΗΣ, ΘΕΣΣΑΛΙΑΣ - ΛΑΡΙΣΑΙΩΝ, ΑΤΤΙΚΗΣ - ΑΘΗΝΑΙΩΝ, ΔΥΤΙΚΗΣ ΕΛΛΑΔΑΣ - ΠΑΤΡΕΩΝ</v>
      </c>
      <c r="G12" s="94" t="s">
        <v>462</v>
      </c>
      <c r="H12" s="129">
        <f>$H$10</f>
        <v>0.16</v>
      </c>
      <c r="I12" s="190">
        <f>IF(ISNUMBER(H$10),ROUND(H$10,2),"")</f>
        <v>0.16</v>
      </c>
      <c r="J12" s="160">
        <f>J$3</f>
        <v>0</v>
      </c>
      <c r="L12" s="87" t="str">
        <f t="shared" si="3"/>
        <v/>
      </c>
      <c r="M12" s="104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="85" zoomScaleNormal="85" workbookViewId="0">
      <selection activeCell="F3" sqref="F3"/>
    </sheetView>
  </sheetViews>
  <sheetFormatPr defaultColWidth="0" defaultRowHeight="15" zeroHeight="1" x14ac:dyDescent="0.25"/>
  <cols>
    <col min="1" max="1" width="50" style="138" customWidth="1"/>
    <col min="2" max="4" width="23" style="138" hidden="1" customWidth="1"/>
    <col min="5" max="5" width="38.140625" style="138" customWidth="1"/>
    <col min="6" max="6" width="36.85546875" style="138" customWidth="1"/>
    <col min="7" max="7" width="31.28515625" style="200" hidden="1" customWidth="1"/>
    <col min="8" max="8" width="31.28515625" style="138" customWidth="1"/>
    <col min="9" max="9" width="6.140625" style="138" customWidth="1"/>
    <col min="10" max="10" width="16.140625" style="138" customWidth="1"/>
    <col min="11" max="11" width="57" style="138" customWidth="1"/>
    <col min="12" max="13" width="9.140625" style="140" hidden="1" customWidth="1"/>
    <col min="14" max="15" width="0" style="140" hidden="1" customWidth="1"/>
    <col min="16" max="16384" width="9.140625" style="138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1" t="s">
        <v>482</v>
      </c>
      <c r="G1" s="71" t="s">
        <v>487</v>
      </c>
      <c r="H1" s="71" t="s">
        <v>484</v>
      </c>
      <c r="J1" s="71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6" t="s">
        <v>420</v>
      </c>
      <c r="J2" s="88" t="s">
        <v>448</v>
      </c>
      <c r="K2" s="89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FORTHNET</v>
      </c>
      <c r="C3" s="34" t="str">
        <f>IF(J3="",IF(ΓΕΝΙΚΑ!$B$17="ΝΑΙ",15300,""),"")</f>
        <v/>
      </c>
      <c r="D3" s="153" t="str">
        <f>IF(ΓΕΝΙΚΑ!$B$17="ΝΑΙ","ΠΑΝΕΛΛΑΔΙΚΑ","")</f>
        <v/>
      </c>
      <c r="E3" s="26" t="s">
        <v>486</v>
      </c>
      <c r="F3" s="55"/>
      <c r="G3" s="199" t="str">
        <f>IF(ISNUMBER(F3),ROUND(F3,2),"")</f>
        <v/>
      </c>
      <c r="H3" s="57"/>
      <c r="J3" s="92" t="str">
        <f>IF(K3="","","ΣΦΑΛΜΑ")</f>
        <v>ΣΦΑΛΜΑ</v>
      </c>
      <c r="K3" s="90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FORTHNET</v>
      </c>
      <c r="C4" s="154" t="str">
        <f>IF(J4="",IF(ΓΕΝΙΚΑ!$B$17="ΝΑΙ",14664,""),"")</f>
        <v/>
      </c>
      <c r="D4" s="155" t="str">
        <f>IF(ΓΕΝΙΚΑ!$B$17="ΝΑΙ","Π. ΑΝΑΤΟΛΙΚΗΣ ΜΑΚΕΔΟΝΙΑΣ - ΘΡΑΚΗΣ","")</f>
        <v/>
      </c>
      <c r="E4" s="42" t="s">
        <v>38</v>
      </c>
      <c r="F4" s="58"/>
      <c r="G4" s="199" t="str">
        <f t="shared" ref="G4:G16" si="1">IF(ISNUMBER(F4),ROUND(F4,2),"")</f>
        <v/>
      </c>
      <c r="H4" s="159">
        <f>H$3</f>
        <v>0</v>
      </c>
      <c r="J4" s="92" t="str">
        <f t="shared" ref="J4:J16" si="2">IF(K4="","","ΣΦΑΛΜΑ")</f>
        <v>ΣΦΑΛΜΑ</v>
      </c>
      <c r="K4" s="90" t="str">
        <f>IF(ΠΕΡΙΦΕΡΕΙΑ!B2&lt;&gt;"Καθόλου",L4,M4)</f>
        <v>Ποσοστό κοινοχρήστων τηλεφώνων σε κατάσταση λειτουργίας.</v>
      </c>
      <c r="L4" s="140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40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FORTHNET</v>
      </c>
      <c r="C5" s="32" t="str">
        <f>IF(J5="",IF(ΓΕΝΙΚΑ!$B$17="ΝΑΙ",14666,""),"")</f>
        <v/>
      </c>
      <c r="D5" s="156" t="str">
        <f>IF(ΓΕΝΙΚΑ!$B$17="ΝΑΙ","Π. ΑΤΤΙΚΗΣ","")</f>
        <v/>
      </c>
      <c r="E5" s="8" t="s">
        <v>39</v>
      </c>
      <c r="F5" s="58"/>
      <c r="G5" s="199" t="str">
        <f t="shared" si="1"/>
        <v/>
      </c>
      <c r="H5" s="159">
        <f t="shared" ref="H5:H16" si="3">H$3</f>
        <v>0</v>
      </c>
      <c r="J5" s="92" t="str">
        <f t="shared" si="2"/>
        <v>ΣΦΑΛΜΑ</v>
      </c>
      <c r="K5" s="90" t="str">
        <f>IF(ΠΕΡΙΦΕΡΕΙΑ!B3&lt;&gt;"Καθόλου",L5,M5)</f>
        <v>Ποσοστό κοινοχρήστων τηλεφώνων σε κατάσταση λειτουργίας.</v>
      </c>
      <c r="L5" s="140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40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FORTHNET</v>
      </c>
      <c r="C6" s="154" t="str">
        <f>IF(J6="",IF(ΓΕΝΙΚΑ!$B$17="ΝΑΙ",14668,""),"")</f>
        <v/>
      </c>
      <c r="D6" s="155" t="str">
        <f>IF(ΓΕΝΙΚΑ!$B$17="ΝΑΙ","Π. ΒΟΡΕΙΟΥ ΑΙΓΑΙΟΥ","")</f>
        <v/>
      </c>
      <c r="E6" s="42" t="s">
        <v>403</v>
      </c>
      <c r="F6" s="58"/>
      <c r="G6" s="199" t="str">
        <f t="shared" si="1"/>
        <v/>
      </c>
      <c r="H6" s="159">
        <f t="shared" si="3"/>
        <v>0</v>
      </c>
      <c r="J6" s="92" t="str">
        <f t="shared" si="2"/>
        <v>ΣΦΑΛΜΑ</v>
      </c>
      <c r="K6" s="90" t="str">
        <f>IF(ΠΕΡΙΦΕΡΕΙΑ!B4&lt;&gt;"Καθόλου",L6,M6)</f>
        <v>Ποσοστό κοινοχρήστων τηλεφώνων σε κατάσταση λειτουργίας.</v>
      </c>
      <c r="L6" s="140" t="str">
        <f t="shared" si="4"/>
        <v>Ποσοστό κοινοχρήστων τηλεφώνων σε κατάσταση λειτουργίας.</v>
      </c>
      <c r="M6" s="140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FORTHNET</v>
      </c>
      <c r="C7" s="32" t="str">
        <f>IF(J7="",IF(ΓΕΝΙΚΑ!$B$17="ΝΑΙ",14670,""),"")</f>
        <v/>
      </c>
      <c r="D7" s="156" t="str">
        <f>IF(ΓΕΝΙΚΑ!$B$17="ΝΑΙ","Π. ΔΥΤΙΚΗΣ ΕΛΛΑΔΑΣ","")</f>
        <v/>
      </c>
      <c r="E7" s="8" t="s">
        <v>404</v>
      </c>
      <c r="F7" s="58"/>
      <c r="G7" s="199" t="str">
        <f t="shared" si="1"/>
        <v/>
      </c>
      <c r="H7" s="159">
        <f t="shared" si="3"/>
        <v>0</v>
      </c>
      <c r="J7" s="92" t="str">
        <f t="shared" si="2"/>
        <v>ΣΦΑΛΜΑ</v>
      </c>
      <c r="K7" s="90" t="str">
        <f>IF(ΠΕΡΙΦΕΡΕΙΑ!B5&lt;&gt;"Καθόλου",L7,M7)</f>
        <v>Ποσοστό κοινοχρήστων τηλεφώνων σε κατάσταση λειτουργίας.</v>
      </c>
      <c r="L7" s="140" t="str">
        <f t="shared" si="4"/>
        <v>Ποσοστό κοινοχρήστων τηλεφώνων σε κατάσταση λειτουργίας.</v>
      </c>
      <c r="M7" s="140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FORTHNET</v>
      </c>
      <c r="C8" s="154" t="str">
        <f>IF(J8="",IF(ΓΕΝΙΚΑ!$B$17="ΝΑΙ",14672,""),"")</f>
        <v/>
      </c>
      <c r="D8" s="155" t="str">
        <f>IF(ΓΕΝΙΚΑ!$B$17="ΝΑΙ","Π. ΔΥΤΙΚΗΣ ΜΑΚΕΔΟΝΙΑΣ","")</f>
        <v/>
      </c>
      <c r="E8" s="42" t="s">
        <v>405</v>
      </c>
      <c r="F8" s="58"/>
      <c r="G8" s="199" t="str">
        <f t="shared" si="1"/>
        <v/>
      </c>
      <c r="H8" s="159">
        <f t="shared" si="3"/>
        <v>0</v>
      </c>
      <c r="J8" s="92" t="str">
        <f t="shared" si="2"/>
        <v>ΣΦΑΛΜΑ</v>
      </c>
      <c r="K8" s="90" t="str">
        <f>IF(ΠΕΡΙΦΕΡΕΙΑ!B6&lt;&gt;"Καθόλου",L8,M8)</f>
        <v>Ποσοστό κοινοχρήστων τηλεφώνων σε κατάσταση λειτουργίας.</v>
      </c>
      <c r="L8" s="140" t="str">
        <f t="shared" si="4"/>
        <v>Ποσοστό κοινοχρήστων τηλεφώνων σε κατάσταση λειτουργίας.</v>
      </c>
      <c r="M8" s="140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FORTHNET</v>
      </c>
      <c r="C9" s="32" t="str">
        <f>IF(J9="",IF(ΓΕΝΙΚΑ!$B$17="ΝΑΙ",14674,""),"")</f>
        <v/>
      </c>
      <c r="D9" s="156" t="str">
        <f>IF(ΓΕΝΙΚΑ!$B$17="ΝΑΙ","Π. ΗΠΕΙΡΟΥ","")</f>
        <v/>
      </c>
      <c r="E9" s="8" t="s">
        <v>406</v>
      </c>
      <c r="F9" s="58"/>
      <c r="G9" s="199" t="str">
        <f t="shared" si="1"/>
        <v/>
      </c>
      <c r="H9" s="159">
        <f t="shared" si="3"/>
        <v>0</v>
      </c>
      <c r="J9" s="92" t="str">
        <f t="shared" si="2"/>
        <v>ΣΦΑΛΜΑ</v>
      </c>
      <c r="K9" s="90" t="str">
        <f>IF(ΠΕΡΙΦΕΡΕΙΑ!B7&lt;&gt;"Καθόλου",L9,M9)</f>
        <v>Ποσοστό κοινοχρήστων τηλεφώνων σε κατάσταση λειτουργίας.</v>
      </c>
      <c r="L9" s="140" t="str">
        <f t="shared" si="4"/>
        <v>Ποσοστό κοινοχρήστων τηλεφώνων σε κατάσταση λειτουργίας.</v>
      </c>
      <c r="M9" s="140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FORTHNET</v>
      </c>
      <c r="C10" s="154" t="str">
        <f>IF(J10="",IF(ΓΕΝΙΚΑ!$B$17="ΝΑΙ",14676,""),"")</f>
        <v/>
      </c>
      <c r="D10" s="155" t="str">
        <f>IF(ΓΕΝΙΚΑ!$B$17="ΝΑΙ","Π. ΘΕΣΣΑΛΙΑΣ","")</f>
        <v/>
      </c>
      <c r="E10" s="42" t="s">
        <v>407</v>
      </c>
      <c r="F10" s="58"/>
      <c r="G10" s="199" t="str">
        <f t="shared" si="1"/>
        <v/>
      </c>
      <c r="H10" s="159">
        <f t="shared" si="3"/>
        <v>0</v>
      </c>
      <c r="J10" s="92" t="str">
        <f t="shared" si="2"/>
        <v>ΣΦΑΛΜΑ</v>
      </c>
      <c r="K10" s="90" t="str">
        <f>IF(ΠΕΡΙΦΕΡΕΙΑ!B8&lt;&gt;"Καθόλου",L10,M10)</f>
        <v>Ποσοστό κοινοχρήστων τηλεφώνων σε κατάσταση λειτουργίας.</v>
      </c>
      <c r="L10" s="140" t="str">
        <f t="shared" si="4"/>
        <v>Ποσοστό κοινοχρήστων τηλεφώνων σε κατάσταση λειτουργίας.</v>
      </c>
      <c r="M10" s="140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FORTHNET</v>
      </c>
      <c r="C11" s="32" t="str">
        <f>IF(J11="",IF(ΓΕΝΙΚΑ!$B$17="ΝΑΙ",14678,""),"")</f>
        <v/>
      </c>
      <c r="D11" s="156" t="str">
        <f>IF(ΓΕΝΙΚΑ!$B$17="ΝΑΙ","Π. ΙΟΝΙΩΝ ΝΗΣΩΝ","")</f>
        <v/>
      </c>
      <c r="E11" s="8" t="s">
        <v>408</v>
      </c>
      <c r="F11" s="58"/>
      <c r="G11" s="199" t="str">
        <f t="shared" si="1"/>
        <v/>
      </c>
      <c r="H11" s="159">
        <f t="shared" si="3"/>
        <v>0</v>
      </c>
      <c r="J11" s="92" t="str">
        <f t="shared" si="2"/>
        <v>ΣΦΑΛΜΑ</v>
      </c>
      <c r="K11" s="90" t="str">
        <f>IF(ΠΕΡΙΦΕΡΕΙΑ!B9&lt;&gt;"Καθόλου",L11,M11)</f>
        <v>Ποσοστό κοινοχρήστων τηλεφώνων σε κατάσταση λειτουργίας.</v>
      </c>
      <c r="L11" s="140" t="str">
        <f t="shared" si="4"/>
        <v>Ποσοστό κοινοχρήστων τηλεφώνων σε κατάσταση λειτουργίας.</v>
      </c>
      <c r="M11" s="140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FORTHNET</v>
      </c>
      <c r="C12" s="154" t="str">
        <f>IF(J12="",IF(ΓΕΝΙΚΑ!$B$17="ΝΑΙ",14680,""),"")</f>
        <v/>
      </c>
      <c r="D12" s="155" t="str">
        <f>IF(ΓΕΝΙΚΑ!$B$17="ΝΑΙ","Π. ΚΕΝΤΡΙΚΗΣ ΜΑΚΕΔΟΝΙΑΣ","")</f>
        <v/>
      </c>
      <c r="E12" s="42" t="s">
        <v>409</v>
      </c>
      <c r="F12" s="58"/>
      <c r="G12" s="199" t="str">
        <f t="shared" si="1"/>
        <v/>
      </c>
      <c r="H12" s="159">
        <f t="shared" si="3"/>
        <v>0</v>
      </c>
      <c r="J12" s="92" t="str">
        <f t="shared" si="2"/>
        <v>ΣΦΑΛΜΑ</v>
      </c>
      <c r="K12" s="90" t="str">
        <f>IF(ΠΕΡΙΦΕΡΕΙΑ!B10&lt;&gt;"Καθόλου",L12,M12)</f>
        <v>Ποσοστό κοινοχρήστων τηλεφώνων σε κατάσταση λειτουργίας.</v>
      </c>
      <c r="L12" s="140" t="str">
        <f t="shared" si="4"/>
        <v>Ποσοστό κοινοχρήστων τηλεφώνων σε κατάσταση λειτουργίας.</v>
      </c>
      <c r="M12" s="140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FORTHNET</v>
      </c>
      <c r="C13" s="32" t="str">
        <f>IF(J13="",IF(ΓΕΝΙΚΑ!$B$17="ΝΑΙ",14682,""),"")</f>
        <v/>
      </c>
      <c r="D13" s="156" t="str">
        <f>IF(ΓΕΝΙΚΑ!$B$17="ΝΑΙ","Π. ΚΡΗΤΗΣ","")</f>
        <v/>
      </c>
      <c r="E13" s="8" t="s">
        <v>410</v>
      </c>
      <c r="F13" s="58"/>
      <c r="G13" s="199" t="str">
        <f t="shared" si="1"/>
        <v/>
      </c>
      <c r="H13" s="159">
        <f t="shared" si="3"/>
        <v>0</v>
      </c>
      <c r="J13" s="92" t="str">
        <f t="shared" si="2"/>
        <v>ΣΦΑΛΜΑ</v>
      </c>
      <c r="K13" s="90" t="str">
        <f>IF(ΠΕΡΙΦΕΡΕΙΑ!B11&lt;&gt;"Καθόλου",L13,M13)</f>
        <v>Ποσοστό κοινοχρήστων τηλεφώνων σε κατάσταση λειτουργίας.</v>
      </c>
      <c r="L13" s="140" t="str">
        <f t="shared" si="4"/>
        <v>Ποσοστό κοινοχρήστων τηλεφώνων σε κατάσταση λειτουργίας.</v>
      </c>
      <c r="M13" s="140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FORTHNET</v>
      </c>
      <c r="C14" s="154" t="str">
        <f>IF(J14="",IF(ΓΕΝΙΚΑ!$B$17="ΝΑΙ",14684,""),"")</f>
        <v/>
      </c>
      <c r="D14" s="155" t="str">
        <f>IF(ΓΕΝΙΚΑ!$B$17="ΝΑΙ","Π. ΝΟΤΙΟΥ ΑΙΓΑΙΟΥ","")</f>
        <v/>
      </c>
      <c r="E14" s="42" t="s">
        <v>411</v>
      </c>
      <c r="F14" s="58"/>
      <c r="G14" s="199" t="str">
        <f t="shared" si="1"/>
        <v/>
      </c>
      <c r="H14" s="159">
        <f t="shared" si="3"/>
        <v>0</v>
      </c>
      <c r="J14" s="92" t="str">
        <f t="shared" si="2"/>
        <v>ΣΦΑΛΜΑ</v>
      </c>
      <c r="K14" s="90" t="str">
        <f>IF(ΠΕΡΙΦΕΡΕΙΑ!B12&lt;&gt;"Καθόλου",L14,M14)</f>
        <v>Ποσοστό κοινοχρήστων τηλεφώνων σε κατάσταση λειτουργίας.</v>
      </c>
      <c r="L14" s="140" t="str">
        <f t="shared" si="4"/>
        <v>Ποσοστό κοινοχρήστων τηλεφώνων σε κατάσταση λειτουργίας.</v>
      </c>
      <c r="M14" s="140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FORTHNET</v>
      </c>
      <c r="C15" s="32" t="str">
        <f>IF(J15="",IF(ΓΕΝΙΚΑ!$B$17="ΝΑΙ",14686,""),"")</f>
        <v/>
      </c>
      <c r="D15" s="156" t="str">
        <f>IF(ΓΕΝΙΚΑ!$B$17="ΝΑΙ","Π. ΠΕΛΟΠΟΝΝΗΣΟΥ","")</f>
        <v/>
      </c>
      <c r="E15" s="8" t="s">
        <v>412</v>
      </c>
      <c r="F15" s="58"/>
      <c r="G15" s="199" t="str">
        <f t="shared" si="1"/>
        <v/>
      </c>
      <c r="H15" s="159">
        <f t="shared" si="3"/>
        <v>0</v>
      </c>
      <c r="J15" s="92" t="str">
        <f t="shared" si="2"/>
        <v>ΣΦΑΛΜΑ</v>
      </c>
      <c r="K15" s="90" t="str">
        <f>IF(ΠΕΡΙΦΕΡΕΙΑ!B13&lt;&gt;"Καθόλου",L15,M15)</f>
        <v>Ποσοστό κοινοχρήστων τηλεφώνων σε κατάσταση λειτουργίας.</v>
      </c>
      <c r="L15" s="140" t="str">
        <f t="shared" si="4"/>
        <v>Ποσοστό κοινοχρήστων τηλεφώνων σε κατάσταση λειτουργίας.</v>
      </c>
      <c r="M15" s="140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FORTHNET</v>
      </c>
      <c r="C16" s="157" t="str">
        <f>IF(J16="",IF(ΓΕΝΙΚΑ!$B$17="ΝΑΙ",14688,""),"")</f>
        <v/>
      </c>
      <c r="D16" s="158" t="str">
        <f>IF(ΓΕΝΙΚΑ!$B$17="ΝΑΙ","Π. ΣΤΕΡΕΑΣ ΕΛΛΑΔΑΣ","")</f>
        <v/>
      </c>
      <c r="E16" s="43" t="s">
        <v>413</v>
      </c>
      <c r="F16" s="59"/>
      <c r="G16" s="199" t="str">
        <f t="shared" si="1"/>
        <v/>
      </c>
      <c r="H16" s="160">
        <f t="shared" si="3"/>
        <v>0</v>
      </c>
      <c r="J16" s="87" t="str">
        <f t="shared" si="2"/>
        <v>ΣΦΑΛΜΑ</v>
      </c>
      <c r="K16" s="91" t="str">
        <f>IF(ΠΕΡΙΦΕΡΕΙΑ!B14&lt;&gt;"Καθόλου",L16,M16)</f>
        <v>Ποσοστό κοινοχρήστων τηλεφώνων σε κατάσταση λειτουργίας.</v>
      </c>
      <c r="L16" s="140" t="str">
        <f t="shared" si="4"/>
        <v>Ποσοστό κοινοχρήστων τηλεφώνων σε κατάσταση λειτουργίας.</v>
      </c>
      <c r="M16" s="140" t="str">
        <f>IF(ΠΕΡΙΦΕΡΕΙΑ!B14="Καθόλου",IF(F16="","","Μην αναγράφετε τιμές εφόσον η περιφέρεια δεν καλύπτεται"),"")</f>
        <v/>
      </c>
    </row>
  </sheetData>
  <sheetProtection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="70" zoomScaleNormal="70" workbookViewId="0">
      <selection activeCell="M3" sqref="M3"/>
    </sheetView>
  </sheetViews>
  <sheetFormatPr defaultColWidth="0" defaultRowHeight="15" zeroHeight="1" x14ac:dyDescent="0.25"/>
  <cols>
    <col min="1" max="1" width="50" style="138" customWidth="1"/>
    <col min="2" max="2" width="23" style="138" hidden="1" customWidth="1"/>
    <col min="3" max="3" width="31.42578125" style="138" customWidth="1"/>
    <col min="4" max="5" width="27.7109375" style="138" hidden="1" customWidth="1"/>
    <col min="6" max="6" width="38.42578125" style="138" customWidth="1"/>
    <col min="7" max="7" width="21.5703125" style="138" customWidth="1"/>
    <col min="8" max="8" width="23.7109375" style="138" customWidth="1"/>
    <col min="9" max="9" width="33.28515625" style="138" customWidth="1"/>
    <col min="10" max="11" width="23.7109375" style="138" hidden="1" customWidth="1"/>
    <col min="12" max="12" width="17.28515625" style="138" customWidth="1"/>
    <col min="13" max="13" width="39.85546875" style="138" customWidth="1"/>
    <col min="14" max="14" width="7.140625" style="138" customWidth="1"/>
    <col min="15" max="15" width="17.42578125" style="138" customWidth="1"/>
    <col min="16" max="16" width="62.85546875" style="138" customWidth="1"/>
    <col min="17" max="16384" width="9.140625" style="138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2" t="s">
        <v>538</v>
      </c>
      <c r="E1" s="152" t="s">
        <v>539</v>
      </c>
      <c r="F1" s="2" t="s">
        <v>480</v>
      </c>
      <c r="G1" s="2" t="s">
        <v>489</v>
      </c>
      <c r="H1" s="71" t="s">
        <v>482</v>
      </c>
      <c r="I1" s="71" t="s">
        <v>482</v>
      </c>
      <c r="J1" s="2" t="s">
        <v>488</v>
      </c>
      <c r="K1" t="s">
        <v>502</v>
      </c>
      <c r="L1" t="s">
        <v>501</v>
      </c>
      <c r="M1" t="s">
        <v>484</v>
      </c>
      <c r="O1" s="72" t="s">
        <v>482</v>
      </c>
      <c r="P1" s="72" t="s">
        <v>482</v>
      </c>
    </row>
    <row r="2" spans="1:16" ht="54.75" customHeight="1" thickBot="1" x14ac:dyDescent="0.3">
      <c r="A2" s="3" t="s">
        <v>421</v>
      </c>
      <c r="B2" s="4" t="s">
        <v>27</v>
      </c>
      <c r="C2" s="75" t="s">
        <v>871</v>
      </c>
      <c r="D2" s="75"/>
      <c r="E2" s="75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5" t="s">
        <v>503</v>
      </c>
      <c r="L2" s="75" t="s">
        <v>422</v>
      </c>
      <c r="M2" s="76" t="s">
        <v>420</v>
      </c>
      <c r="O2" s="88" t="s">
        <v>448</v>
      </c>
      <c r="P2" s="89" t="s">
        <v>525</v>
      </c>
    </row>
    <row r="3" spans="1:16" ht="48.75" customHeight="1" thickTop="1" x14ac:dyDescent="0.25">
      <c r="A3" s="107" t="e">
        <f>#REF!</f>
        <v>#REF!</v>
      </c>
      <c r="B3" s="24" t="e">
        <f>#REF!</f>
        <v>#REF!</v>
      </c>
      <c r="C3" s="133">
        <v>1</v>
      </c>
      <c r="D3" s="161">
        <f>IF(O3="",IF(ΓΕΝΙΚΑ!$B$18="ΝΑΙ",_xlfn.IFNA(INDEX(OrchardIDnai,MATCH(F3,DimosNameNai,0)),""),""),"")</f>
        <v>13946</v>
      </c>
      <c r="E3" s="161" t="str">
        <f>IF(ΓΕΝΙΚΑ!$B$18="ΝΑΙ",_xlfn.IFNA(INDEX(OrchardNameNai,MATCH(F3,DimosNameNai,0)),""),"")</f>
        <v>Αθηναίων</v>
      </c>
      <c r="F3" s="105" t="s">
        <v>879</v>
      </c>
      <c r="G3" s="179" t="s">
        <v>442</v>
      </c>
      <c r="H3" s="98" t="s">
        <v>429</v>
      </c>
      <c r="I3" s="99"/>
      <c r="J3" s="26" t="str">
        <f>IF(H3="","",IF(H3="Άλλο",IF(I3="","",I3),TEXT(H3,)))</f>
        <v>POTS</v>
      </c>
      <c r="K3" s="124">
        <f>IF(L3="ΠΟΛΥ ΥΨΗΛΗ", 5,IF(L3="ΥΨΗΛΗ",4,IF(L3="ΜΕΣΗ",3,IF(L3="ΧΑΜΗΛΗ",2,IF(L3="ΠΟΛΥ ΧΑΜΗΛΗ",1,0)))))</f>
        <v>4</v>
      </c>
      <c r="L3" s="100" t="s">
        <v>424</v>
      </c>
      <c r="M3" s="168"/>
      <c r="O3" s="92" t="str">
        <f>IF(P3="","","ΣΦΑΛΜΑ")</f>
        <v/>
      </c>
      <c r="P3" s="136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7" t="e">
        <f>#REF!</f>
        <v>#REF!</v>
      </c>
      <c r="B4" s="24" t="e">
        <f>#REF!</f>
        <v>#REF!</v>
      </c>
      <c r="C4" s="142">
        <v>1</v>
      </c>
      <c r="D4" s="161">
        <f>IF(O4="",IF(ΓΕΝΙΚΑ!$B$18="ΝΑΙ",_xlfn.IFNA(INDEX(OrchardIDnai,MATCH(F4,DimosNameNai,0)),""),""),"")</f>
        <v>13946</v>
      </c>
      <c r="E4" s="161" t="str">
        <f>IF(ΓΕΝΙΚΑ!$B$18="ΝΑΙ",_xlfn.IFNA(INDEX(OrchardNameNai,MATCH(F4,DimosNameNai,0)),""),"")</f>
        <v>Αθηναίων</v>
      </c>
      <c r="F4" s="143" t="s">
        <v>879</v>
      </c>
      <c r="G4" s="144" t="s">
        <v>443</v>
      </c>
      <c r="H4" s="145" t="str">
        <f>TEXT(H3,)</f>
        <v>POTS</v>
      </c>
      <c r="I4" s="8" t="str">
        <f>TEXT($I$3,"")</f>
        <v/>
      </c>
      <c r="J4" s="123" t="str">
        <f>$J$3</f>
        <v>POTS</v>
      </c>
      <c r="K4" s="124">
        <f>IF(L4="ΠΟΛΥ ΥΨΗΛΗ", 5,IF(L4="ΥΨΗΛΗ",4,IF(L4="ΜΕΣΗ",3,IF(L4="ΧΑΜΗΛΗ",2,IF(L4="ΠΟΛΥ ΧΑΜΗΛΗ",1,0)))))</f>
        <v>4</v>
      </c>
      <c r="L4" s="146" t="str">
        <f>TEXT($L$3,)</f>
        <v>ΥΨΗΛΗ</v>
      </c>
      <c r="M4" s="177">
        <f>M3</f>
        <v>0</v>
      </c>
      <c r="O4" s="92" t="str">
        <f>IF(P4="","","ΣΦΑΛΜΑ")</f>
        <v/>
      </c>
      <c r="P4" s="136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7" t="e">
        <f>#REF!</f>
        <v>#REF!</v>
      </c>
      <c r="B5" s="24" t="e">
        <f>#REF!</f>
        <v>#REF!</v>
      </c>
      <c r="C5" s="135">
        <v>2</v>
      </c>
      <c r="D5" s="161">
        <f>IF(O5="",IF(ΓΕΝΙΚΑ!$B$18="ΝΑΙ",_xlfn.IFNA(INDEX(OrchardIDnai,MATCH(F5,DimosNameNai,0)),""),""),"")</f>
        <v>14138</v>
      </c>
      <c r="E5" s="161" t="str">
        <f>IF(ΓΕΝΙΚΑ!$B$18="ΝΑΙ",_xlfn.IFNA(INDEX(OrchardNameNai,MATCH(F5,DimosNameNai,0)),""),"")</f>
        <v>Θεσσαλονίκης</v>
      </c>
      <c r="F5" s="141" t="s">
        <v>880</v>
      </c>
      <c r="G5" s="130" t="s">
        <v>442</v>
      </c>
      <c r="H5" s="102" t="s">
        <v>429</v>
      </c>
      <c r="I5" s="101"/>
      <c r="J5" s="39" t="str">
        <f>IF(H5="","",IF(H5="Άλλο",IF(I5="","",I5),TEXT(H5,"")))</f>
        <v>POTS</v>
      </c>
      <c r="K5" s="73">
        <f>IF(L5="ΠΟΛΥ ΥΨΗΛΗ", 5,IF(L5="ΥΨΗΛΗ",4,IF(L5="ΜΕΣΗ",3,IF(L5="ΧΑΜΗΛΗ",2,IF(L5="ΠΟΛΥ ΧΑΜΗΛΗ",1,0)))))</f>
        <v>4</v>
      </c>
      <c r="L5" s="100" t="s">
        <v>424</v>
      </c>
      <c r="M5" s="177">
        <f>M3</f>
        <v>0</v>
      </c>
      <c r="O5" s="92" t="str">
        <f>IF(P5="","","ΣΦΑΛΜΑ")</f>
        <v/>
      </c>
      <c r="P5" s="136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8" t="e">
        <f>#REF!</f>
        <v>#REF!</v>
      </c>
      <c r="B6" s="29" t="e">
        <f>#REF!</f>
        <v>#REF!</v>
      </c>
      <c r="C6" s="134">
        <f>IF(ISNUMBER(C$5),C$5,"")</f>
        <v>2</v>
      </c>
      <c r="D6" s="161">
        <f>IF(O6="",IF(ΓΕΝΙΚΑ!$B$18="ΝΑΙ",_xlfn.IFNA(INDEX(OrchardIDnai,MATCH(F6,DimosNameNai,0)),""),""),"")</f>
        <v>13946</v>
      </c>
      <c r="E6" s="161" t="str">
        <f>IF(ΓΕΝΙΚΑ!$B$18="ΝΑΙ",_xlfn.IFNA(INDEX(OrchardNameNai,MATCH(F6,DimosNameNai,0)),""),"")</f>
        <v>Αθηναίων</v>
      </c>
      <c r="F6" s="106" t="s">
        <v>879</v>
      </c>
      <c r="G6" s="131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3">
        <f>IF(L6="ΠΟΛΥ ΥΨΗΛΗ", 5,IF(L6="ΥΨΗΛΗ",4,IF(L6="ΜΕΣΗ",3,IF(L6="ΧΑΜΗΛΗ",2,IF(L6="ΠΟΛΥ ΧΑΜΗΛΗ",1,0)))))</f>
        <v>4</v>
      </c>
      <c r="L6" s="44" t="str">
        <f>TEXT($L$5,)</f>
        <v>ΥΨΗΛΗ</v>
      </c>
      <c r="M6" s="178">
        <f>M3</f>
        <v>0</v>
      </c>
      <c r="O6" s="96" t="str">
        <f>IF(P6="","","ΣΦΑΛΜΑ")</f>
        <v/>
      </c>
      <c r="P6" s="137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8" zoomScale="70" zoomScaleNormal="70" workbookViewId="0">
      <selection activeCell="L8" sqref="L8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201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201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8" customFormat="1" ht="15.75" hidden="1" thickBot="1" x14ac:dyDescent="0.3">
      <c r="A1" t="s">
        <v>478</v>
      </c>
      <c r="B1" s="110" t="s">
        <v>479</v>
      </c>
      <c r="C1" s="152" t="s">
        <v>538</v>
      </c>
      <c r="D1" s="152" t="s">
        <v>539</v>
      </c>
      <c r="E1" s="2" t="s">
        <v>480</v>
      </c>
      <c r="F1" t="s">
        <v>490</v>
      </c>
      <c r="G1" t="s">
        <v>482</v>
      </c>
      <c r="H1" s="110" t="s">
        <v>491</v>
      </c>
      <c r="I1" t="s">
        <v>482</v>
      </c>
      <c r="J1" t="s">
        <v>492</v>
      </c>
      <c r="K1" s="110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0"/>
      <c r="U1" s="140"/>
      <c r="V1" s="140"/>
      <c r="W1" s="140"/>
      <c r="X1" s="140"/>
    </row>
    <row r="2" spans="1:25" s="13" customFormat="1" ht="104.25" customHeight="1" thickBot="1" x14ac:dyDescent="0.3">
      <c r="A2" s="3" t="s">
        <v>421</v>
      </c>
      <c r="B2" s="111" t="s">
        <v>27</v>
      </c>
      <c r="C2" s="111"/>
      <c r="D2" s="111"/>
      <c r="E2" s="4" t="s">
        <v>473</v>
      </c>
      <c r="F2" s="4" t="s">
        <v>512</v>
      </c>
      <c r="G2" s="4" t="s">
        <v>513</v>
      </c>
      <c r="H2" s="111" t="s">
        <v>513</v>
      </c>
      <c r="I2" s="75" t="s">
        <v>864</v>
      </c>
      <c r="J2" s="75" t="s">
        <v>509</v>
      </c>
      <c r="K2" s="115" t="s">
        <v>530</v>
      </c>
      <c r="L2" s="4" t="s">
        <v>511</v>
      </c>
      <c r="M2" s="4" t="s">
        <v>510</v>
      </c>
      <c r="N2" s="4" t="s">
        <v>453</v>
      </c>
      <c r="O2" s="76" t="s">
        <v>454</v>
      </c>
      <c r="P2" s="77" t="s">
        <v>420</v>
      </c>
      <c r="Q2" s="138"/>
      <c r="R2" s="88" t="s">
        <v>448</v>
      </c>
      <c r="S2" s="89" t="s">
        <v>525</v>
      </c>
      <c r="T2" s="89" t="s">
        <v>525</v>
      </c>
      <c r="U2" s="89" t="s">
        <v>525</v>
      </c>
      <c r="V2" s="181" t="s">
        <v>534</v>
      </c>
      <c r="W2" s="181" t="s">
        <v>535</v>
      </c>
      <c r="X2" s="89" t="s">
        <v>525</v>
      </c>
      <c r="Y2" s="89" t="s">
        <v>525</v>
      </c>
    </row>
    <row r="3" spans="1:25" s="13" customFormat="1" ht="76.5" thickTop="1" thickBot="1" x14ac:dyDescent="0.3">
      <c r="A3" s="25" t="s">
        <v>477</v>
      </c>
      <c r="B3" s="119" t="str">
        <f>ΓΕΝΙΚΑ!$C$4</f>
        <v>FORTHNET</v>
      </c>
      <c r="C3" s="34">
        <f>IF(R3="",IF(ΓΕΝΙΚΑ!$B$19="ΝΑΙ",15300,""),"")</f>
        <v>15300</v>
      </c>
      <c r="D3" s="153" t="str">
        <f>IF(ΓΕΝΙΚΑ!$B$19="ΝΑΙ","ΠΑΝΕΛΛΑΔΙΚΑ","")</f>
        <v>ΠΑΝΕΛΛΑΔΙΚΑ</v>
      </c>
      <c r="E3" s="70" t="s">
        <v>486</v>
      </c>
      <c r="F3" s="45">
        <v>50</v>
      </c>
      <c r="G3" s="55">
        <v>0.14000000000000001</v>
      </c>
      <c r="H3" s="109">
        <f>IF(ISNUMBER(G3),ROUND(G3,2),"")</f>
        <v>0.14000000000000001</v>
      </c>
      <c r="I3" s="55">
        <v>2.81</v>
      </c>
      <c r="J3" s="109">
        <f>IF(ISNUMBER(I3),ROUND(I3,2),"")</f>
        <v>2.81</v>
      </c>
      <c r="K3" s="116">
        <f>IF(AND(ISNUMBER(G3),ISNUMBER(I3)),ROUND(G3+I3,0),IF(ISNUMBER(G3),ROUND(G3,0),IF(ISNUMBER(I3),ROUND(I3,0),"")))</f>
        <v>3</v>
      </c>
      <c r="L3" s="55"/>
      <c r="M3" s="120" t="str">
        <f>IF(ISNUMBER(L3),ROUND(L3,2),"")</f>
        <v/>
      </c>
      <c r="N3" s="55" t="s">
        <v>884</v>
      </c>
      <c r="O3" s="56" t="s">
        <v>878</v>
      </c>
      <c r="P3" s="57"/>
      <c r="Q3" s="138"/>
      <c r="R3" s="92" t="str">
        <f>IF(S3="","","ΣΦΑΛΜΑ")</f>
        <v/>
      </c>
      <c r="S3" s="95" t="str">
        <f>CONCATENATE(IF(K3="",T3,""),IF(K3&gt;K17,U3,""),IF(G3&gt;G17,V3,""),IF(I3&gt;I17,W3,""),IF(L3&lt;&gt;"",IF(AND(ISNUMBER(L3),L3&gt;=0,L3&lt;=100),"",X3),""))</f>
        <v/>
      </c>
      <c r="T3" s="181" t="s">
        <v>531</v>
      </c>
      <c r="U3" s="181" t="s">
        <v>533</v>
      </c>
      <c r="V3" s="181"/>
      <c r="W3" s="181"/>
      <c r="X3" s="181" t="s">
        <v>532</v>
      </c>
      <c r="Y3" s="182"/>
    </row>
    <row r="4" spans="1:25" s="13" customFormat="1" ht="76.5" thickTop="1" thickBot="1" x14ac:dyDescent="0.3">
      <c r="A4" s="51" t="str">
        <f t="shared" ref="A4:A30" si="0">A$3</f>
        <v>F04</v>
      </c>
      <c r="B4" s="119" t="str">
        <f>ΓΕΝΙΚΑ!$C$4</f>
        <v>FORTHNET</v>
      </c>
      <c r="C4" s="154">
        <f>IF(R4="",IF(ΓΕΝΙΚΑ!$B$19="ΝΑΙ",14664,""),"")</f>
        <v>14664</v>
      </c>
      <c r="D4" s="155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5">
        <v>0.47221693708327428</v>
      </c>
      <c r="H4" s="109">
        <f t="shared" ref="H4:H30" si="1">IF(ISNUMBER(G4),ROUND(G4,2),"")</f>
        <v>0.47</v>
      </c>
      <c r="I4" s="55">
        <v>4.0020618885968684</v>
      </c>
      <c r="J4" s="109">
        <f t="shared" ref="J4:J30" si="2">IF(ISNUMBER(I4),ROUND(I4,2),"")</f>
        <v>4</v>
      </c>
      <c r="K4" s="117">
        <f t="shared" ref="K4:K30" si="3">IF(AND(ISNUMBER(G4),ISNUMBER(I4)),ROUND(G4+I4,0),IF(ISNUMBER(G4),ROUND(G4,0),IF(ISNUMBER(I4),ROUND(I4,0),"")))</f>
        <v>4</v>
      </c>
      <c r="L4" s="58"/>
      <c r="M4" s="120" t="str">
        <f t="shared" ref="M4:M16" si="4">IF(ISNUMBER(L4),ROUND(L4,2),"")</f>
        <v/>
      </c>
      <c r="N4" s="162" t="str">
        <f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4" s="162" t="str">
        <f>O$3</f>
        <v>Οποτεδήποτε μέσα σε 8 ώρες</v>
      </c>
      <c r="P4" s="163">
        <f>P$3</f>
        <v>0</v>
      </c>
      <c r="Q4" s="138"/>
      <c r="R4" s="92" t="str">
        <f t="shared" ref="R4:R30" si="5">IF(S4="","","ΣΦΑΛΜΑ")</f>
        <v/>
      </c>
      <c r="S4" s="95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1" t="s">
        <v>531</v>
      </c>
      <c r="U4" s="181" t="s">
        <v>533</v>
      </c>
      <c r="V4" s="181"/>
      <c r="W4" s="181"/>
      <c r="X4" s="181" t="s">
        <v>532</v>
      </c>
      <c r="Y4" s="182" t="s">
        <v>865</v>
      </c>
    </row>
    <row r="5" spans="1:25" s="13" customFormat="1" ht="76.5" thickTop="1" thickBot="1" x14ac:dyDescent="0.3">
      <c r="A5" s="51" t="str">
        <f t="shared" si="0"/>
        <v>F04</v>
      </c>
      <c r="B5" s="119" t="str">
        <f>ΓΕΝΙΚΑ!$C$4</f>
        <v>FORTHNET</v>
      </c>
      <c r="C5" s="32">
        <f>IF(R5="",IF(ΓΕΝΙΚΑ!$B$19="ΝΑΙ",14666,""),"")</f>
        <v>14666</v>
      </c>
      <c r="D5" s="156" t="str">
        <f>IF(ΓΕΝΙΚΑ!$B$19="ΝΑΙ","Π. ΑΤΤΙΚΗΣ","")</f>
        <v>Π. ΑΤΤΙΚΗΣ</v>
      </c>
      <c r="E5" s="47" t="s">
        <v>39</v>
      </c>
      <c r="F5" s="47">
        <v>50</v>
      </c>
      <c r="G5" s="55">
        <v>0.12630803736416019</v>
      </c>
      <c r="H5" s="109">
        <f t="shared" si="1"/>
        <v>0.13</v>
      </c>
      <c r="I5" s="55">
        <v>2.7120096797090389</v>
      </c>
      <c r="J5" s="109">
        <f t="shared" si="2"/>
        <v>2.71</v>
      </c>
      <c r="K5" s="117">
        <f t="shared" si="3"/>
        <v>3</v>
      </c>
      <c r="L5" s="58"/>
      <c r="M5" s="120" t="str">
        <f t="shared" si="4"/>
        <v/>
      </c>
      <c r="N5" s="162" t="str">
        <f t="shared" ref="N5:P30" si="6">N$3</f>
        <v xml:space="preserve">Μέσω Καταστημάτων: Ωράριο καταστημάτων 
Μέσω Τηλεφώνου 13831:  Δευτέρα - Παρασκευή 08:00 - 22:00 , Σάββατο - Κυριακή 09:00 - 21:00    </v>
      </c>
      <c r="O5" s="162" t="str">
        <f t="shared" si="6"/>
        <v>Οποτεδήποτε μέσα σε 8 ώρες</v>
      </c>
      <c r="P5" s="163">
        <f t="shared" si="6"/>
        <v>0</v>
      </c>
      <c r="Q5" s="138"/>
      <c r="R5" s="92" t="str">
        <f t="shared" si="5"/>
        <v/>
      </c>
      <c r="S5" s="95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1" t="s">
        <v>531</v>
      </c>
      <c r="U5" s="181" t="s">
        <v>533</v>
      </c>
      <c r="V5" s="181"/>
      <c r="W5" s="181"/>
      <c r="X5" s="181" t="s">
        <v>532</v>
      </c>
      <c r="Y5" s="182" t="s">
        <v>865</v>
      </c>
    </row>
    <row r="6" spans="1:25" s="13" customFormat="1" ht="76.5" thickTop="1" thickBot="1" x14ac:dyDescent="0.3">
      <c r="A6" s="51" t="str">
        <f t="shared" si="0"/>
        <v>F04</v>
      </c>
      <c r="B6" s="119" t="str">
        <f>ΓΕΝΙΚΑ!$C$4</f>
        <v>FORTHNET</v>
      </c>
      <c r="C6" s="154">
        <f>IF(R6="",IF(ΓΕΝΙΚΑ!$B$19="ΝΑΙ",14668,""),"")</f>
        <v>14668</v>
      </c>
      <c r="D6" s="155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5">
        <v>0.42961694666223038</v>
      </c>
      <c r="H6" s="109">
        <f t="shared" si="1"/>
        <v>0.43</v>
      </c>
      <c r="I6" s="55">
        <v>4.7616812035650886</v>
      </c>
      <c r="J6" s="109">
        <f t="shared" si="2"/>
        <v>4.76</v>
      </c>
      <c r="K6" s="117">
        <f t="shared" si="3"/>
        <v>5</v>
      </c>
      <c r="L6" s="58"/>
      <c r="M6" s="120" t="str">
        <f t="shared" si="4"/>
        <v/>
      </c>
      <c r="N6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6" s="162" t="str">
        <f t="shared" si="6"/>
        <v>Οποτεδήποτε μέσα σε 8 ώρες</v>
      </c>
      <c r="P6" s="163">
        <f t="shared" si="6"/>
        <v>0</v>
      </c>
      <c r="Q6" s="138"/>
      <c r="R6" s="92" t="str">
        <f t="shared" si="5"/>
        <v/>
      </c>
      <c r="S6" s="95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1" t="s">
        <v>531</v>
      </c>
      <c r="U6" s="181" t="s">
        <v>533</v>
      </c>
      <c r="V6" s="181"/>
      <c r="W6" s="181"/>
      <c r="X6" s="181" t="s">
        <v>532</v>
      </c>
      <c r="Y6" s="182" t="s">
        <v>865</v>
      </c>
    </row>
    <row r="7" spans="1:25" s="13" customFormat="1" ht="76.5" thickTop="1" thickBot="1" x14ac:dyDescent="0.3">
      <c r="A7" s="51" t="str">
        <f t="shared" si="0"/>
        <v>F04</v>
      </c>
      <c r="B7" s="119" t="str">
        <f>ΓΕΝΙΚΑ!$C$4</f>
        <v>FORTHNET</v>
      </c>
      <c r="C7" s="32">
        <f>IF(R7="",IF(ΓΕΝΙΚΑ!$B$19="ΝΑΙ",14670,""),"")</f>
        <v>14670</v>
      </c>
      <c r="D7" s="156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5">
        <v>4.320391929920113E-2</v>
      </c>
      <c r="H7" s="109">
        <f t="shared" si="1"/>
        <v>0.04</v>
      </c>
      <c r="I7" s="55">
        <v>2.5333153481299941</v>
      </c>
      <c r="J7" s="109">
        <f t="shared" si="2"/>
        <v>2.5299999999999998</v>
      </c>
      <c r="K7" s="117">
        <f t="shared" si="3"/>
        <v>3</v>
      </c>
      <c r="L7" s="58"/>
      <c r="M7" s="120" t="str">
        <f t="shared" si="4"/>
        <v/>
      </c>
      <c r="N7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7" s="162" t="str">
        <f t="shared" si="6"/>
        <v>Οποτεδήποτε μέσα σε 8 ώρες</v>
      </c>
      <c r="P7" s="163">
        <f t="shared" si="6"/>
        <v>0</v>
      </c>
      <c r="Q7" s="138"/>
      <c r="R7" s="92" t="str">
        <f t="shared" si="5"/>
        <v/>
      </c>
      <c r="S7" s="95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1" t="s">
        <v>531</v>
      </c>
      <c r="U7" s="181" t="s">
        <v>533</v>
      </c>
      <c r="V7" s="181"/>
      <c r="W7" s="181"/>
      <c r="X7" s="181" t="s">
        <v>532</v>
      </c>
      <c r="Y7" s="182" t="s">
        <v>865</v>
      </c>
    </row>
    <row r="8" spans="1:25" s="13" customFormat="1" ht="76.5" thickTop="1" thickBot="1" x14ac:dyDescent="0.3">
      <c r="A8" s="51" t="str">
        <f t="shared" si="0"/>
        <v>F04</v>
      </c>
      <c r="B8" s="119" t="str">
        <f>ΓΕΝΙΚΑ!$C$4</f>
        <v>FORTHNET</v>
      </c>
      <c r="C8" s="154">
        <f>IF(R8="",IF(ΓΕΝΙΚΑ!$B$19="ΝΑΙ",14672,""),"")</f>
        <v>14672</v>
      </c>
      <c r="D8" s="155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5">
        <v>1.6322110193283668E-2</v>
      </c>
      <c r="H8" s="109">
        <f t="shared" si="1"/>
        <v>0.02</v>
      </c>
      <c r="I8" s="55">
        <v>2.2065681351905844</v>
      </c>
      <c r="J8" s="109">
        <f t="shared" si="2"/>
        <v>2.21</v>
      </c>
      <c r="K8" s="117">
        <f t="shared" si="3"/>
        <v>2</v>
      </c>
      <c r="L8" s="58"/>
      <c r="M8" s="120" t="str">
        <f t="shared" si="4"/>
        <v/>
      </c>
      <c r="N8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8" s="162" t="str">
        <f t="shared" si="6"/>
        <v>Οποτεδήποτε μέσα σε 8 ώρες</v>
      </c>
      <c r="P8" s="163">
        <f t="shared" si="6"/>
        <v>0</v>
      </c>
      <c r="Q8" s="138"/>
      <c r="R8" s="92" t="str">
        <f t="shared" si="5"/>
        <v/>
      </c>
      <c r="S8" s="95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1" t="s">
        <v>531</v>
      </c>
      <c r="U8" s="181" t="s">
        <v>533</v>
      </c>
      <c r="V8" s="181"/>
      <c r="W8" s="181"/>
      <c r="X8" s="181" t="s">
        <v>532</v>
      </c>
      <c r="Y8" s="182" t="s">
        <v>865</v>
      </c>
    </row>
    <row r="9" spans="1:25" s="13" customFormat="1" ht="76.5" thickTop="1" thickBot="1" x14ac:dyDescent="0.3">
      <c r="A9" s="51" t="str">
        <f t="shared" si="0"/>
        <v>F04</v>
      </c>
      <c r="B9" s="119" t="str">
        <f>ΓΕΝΙΚΑ!$C$4</f>
        <v>FORTHNET</v>
      </c>
      <c r="C9" s="32">
        <f>IF(R9="",IF(ΓΕΝΙΚΑ!$B$19="ΝΑΙ",14674,""),"")</f>
        <v>14674</v>
      </c>
      <c r="D9" s="156" t="str">
        <f>IF(ΓΕΝΙΚΑ!$B$19="ΝΑΙ","Π. ΗΠΕΙΡΟΥ","")</f>
        <v>Π. ΗΠΕΙΡΟΥ</v>
      </c>
      <c r="E9" s="47" t="s">
        <v>406</v>
      </c>
      <c r="F9" s="47">
        <v>50</v>
      </c>
      <c r="G9" s="55">
        <v>7.5135760760760744E-3</v>
      </c>
      <c r="H9" s="109">
        <f t="shared" si="1"/>
        <v>0.01</v>
      </c>
      <c r="I9" s="55">
        <v>1.9107329517017013</v>
      </c>
      <c r="J9" s="109">
        <f t="shared" si="2"/>
        <v>1.91</v>
      </c>
      <c r="K9" s="117">
        <f t="shared" si="3"/>
        <v>2</v>
      </c>
      <c r="L9" s="58"/>
      <c r="M9" s="120" t="str">
        <f t="shared" si="4"/>
        <v/>
      </c>
      <c r="N9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9" s="162" t="str">
        <f t="shared" si="6"/>
        <v>Οποτεδήποτε μέσα σε 8 ώρες</v>
      </c>
      <c r="P9" s="163">
        <f t="shared" si="6"/>
        <v>0</v>
      </c>
      <c r="Q9" s="138"/>
      <c r="R9" s="92" t="str">
        <f t="shared" si="5"/>
        <v/>
      </c>
      <c r="S9" s="95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1" t="s">
        <v>531</v>
      </c>
      <c r="U9" s="181" t="s">
        <v>533</v>
      </c>
      <c r="V9" s="181"/>
      <c r="W9" s="181"/>
      <c r="X9" s="181" t="s">
        <v>532</v>
      </c>
      <c r="Y9" s="182" t="s">
        <v>865</v>
      </c>
    </row>
    <row r="10" spans="1:25" s="13" customFormat="1" ht="76.5" thickTop="1" thickBot="1" x14ac:dyDescent="0.3">
      <c r="A10" s="51" t="str">
        <f t="shared" si="0"/>
        <v>F04</v>
      </c>
      <c r="B10" s="119" t="str">
        <f>ΓΕΝΙΚΑ!$C$4</f>
        <v>FORTHNET</v>
      </c>
      <c r="C10" s="154">
        <f>IF(R10="",IF(ΓΕΝΙΚΑ!$B$19="ΝΑΙ",14676,""),"")</f>
        <v>14676</v>
      </c>
      <c r="D10" s="155" t="str">
        <f>IF(ΓΕΝΙΚΑ!$B$19="ΝΑΙ","Π. ΘΕΣΣΑΛΙΑΣ","")</f>
        <v>Π. ΘΕΣΣΑΛΙΑΣ</v>
      </c>
      <c r="E10" s="46" t="s">
        <v>407</v>
      </c>
      <c r="F10" s="47">
        <v>50</v>
      </c>
      <c r="G10" s="55">
        <v>3.638609797741001E-3</v>
      </c>
      <c r="H10" s="109">
        <f t="shared" si="1"/>
        <v>0</v>
      </c>
      <c r="I10" s="55">
        <v>2.199498183171352</v>
      </c>
      <c r="J10" s="109">
        <f t="shared" si="2"/>
        <v>2.2000000000000002</v>
      </c>
      <c r="K10" s="117">
        <f t="shared" si="3"/>
        <v>2</v>
      </c>
      <c r="L10" s="58"/>
      <c r="M10" s="120" t="str">
        <f t="shared" si="4"/>
        <v/>
      </c>
      <c r="N10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0" s="162" t="str">
        <f t="shared" si="6"/>
        <v>Οποτεδήποτε μέσα σε 8 ώρες</v>
      </c>
      <c r="P10" s="163">
        <f t="shared" si="6"/>
        <v>0</v>
      </c>
      <c r="Q10" s="138"/>
      <c r="R10" s="92" t="str">
        <f t="shared" si="5"/>
        <v/>
      </c>
      <c r="S10" s="95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1" t="s">
        <v>531</v>
      </c>
      <c r="U10" s="181" t="s">
        <v>533</v>
      </c>
      <c r="V10" s="181"/>
      <c r="W10" s="181"/>
      <c r="X10" s="181" t="s">
        <v>532</v>
      </c>
      <c r="Y10" s="182" t="s">
        <v>865</v>
      </c>
    </row>
    <row r="11" spans="1:25" s="13" customFormat="1" ht="76.5" thickTop="1" thickBot="1" x14ac:dyDescent="0.3">
      <c r="A11" s="51" t="str">
        <f t="shared" si="0"/>
        <v>F04</v>
      </c>
      <c r="B11" s="119" t="str">
        <f>ΓΕΝΙΚΑ!$C$4</f>
        <v>FORTHNET</v>
      </c>
      <c r="C11" s="32">
        <f>IF(R11="",IF(ΓΕΝΙΚΑ!$B$19="ΝΑΙ",14678,""),"")</f>
        <v>14678</v>
      </c>
      <c r="D11" s="156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5">
        <v>0.32915691638608308</v>
      </c>
      <c r="H11" s="109">
        <f t="shared" si="1"/>
        <v>0.33</v>
      </c>
      <c r="I11" s="55">
        <v>3.2952928591470254</v>
      </c>
      <c r="J11" s="109">
        <f t="shared" si="2"/>
        <v>3.3</v>
      </c>
      <c r="K11" s="117">
        <f t="shared" si="3"/>
        <v>4</v>
      </c>
      <c r="L11" s="58"/>
      <c r="M11" s="120" t="str">
        <f t="shared" si="4"/>
        <v/>
      </c>
      <c r="N11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1" s="162" t="str">
        <f t="shared" si="6"/>
        <v>Οποτεδήποτε μέσα σε 8 ώρες</v>
      </c>
      <c r="P11" s="163">
        <f t="shared" si="6"/>
        <v>0</v>
      </c>
      <c r="Q11" s="138"/>
      <c r="R11" s="92" t="str">
        <f t="shared" si="5"/>
        <v/>
      </c>
      <c r="S11" s="95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1" t="s">
        <v>531</v>
      </c>
      <c r="U11" s="181" t="s">
        <v>533</v>
      </c>
      <c r="V11" s="181"/>
      <c r="W11" s="181"/>
      <c r="X11" s="181" t="s">
        <v>532</v>
      </c>
      <c r="Y11" s="182" t="s">
        <v>865</v>
      </c>
    </row>
    <row r="12" spans="1:25" s="13" customFormat="1" ht="76.5" thickTop="1" thickBot="1" x14ac:dyDescent="0.3">
      <c r="A12" s="51" t="str">
        <f t="shared" si="0"/>
        <v>F04</v>
      </c>
      <c r="B12" s="119" t="str">
        <f>ΓΕΝΙΚΑ!$C$4</f>
        <v>FORTHNET</v>
      </c>
      <c r="C12" s="154">
        <f>IF(R12="",IF(ΓΕΝΙΚΑ!$B$19="ΝΑΙ",14680,""),"")</f>
        <v>14680</v>
      </c>
      <c r="D12" s="155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5">
        <v>2.9829276821464489E-2</v>
      </c>
      <c r="H12" s="109">
        <f t="shared" si="1"/>
        <v>0.03</v>
      </c>
      <c r="I12" s="55">
        <v>2.3557372914208794</v>
      </c>
      <c r="J12" s="109">
        <f t="shared" si="2"/>
        <v>2.36</v>
      </c>
      <c r="K12" s="117">
        <f t="shared" si="3"/>
        <v>2</v>
      </c>
      <c r="L12" s="58"/>
      <c r="M12" s="120" t="str">
        <f t="shared" si="4"/>
        <v/>
      </c>
      <c r="N12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2" s="162" t="str">
        <f t="shared" si="6"/>
        <v>Οποτεδήποτε μέσα σε 8 ώρες</v>
      </c>
      <c r="P12" s="163">
        <f t="shared" si="6"/>
        <v>0</v>
      </c>
      <c r="Q12" s="138"/>
      <c r="R12" s="92" t="str">
        <f t="shared" si="5"/>
        <v/>
      </c>
      <c r="S12" s="95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1" t="s">
        <v>531</v>
      </c>
      <c r="U12" s="181" t="s">
        <v>533</v>
      </c>
      <c r="V12" s="181"/>
      <c r="W12" s="181"/>
      <c r="X12" s="181" t="s">
        <v>532</v>
      </c>
      <c r="Y12" s="182" t="s">
        <v>865</v>
      </c>
    </row>
    <row r="13" spans="1:25" s="13" customFormat="1" ht="76.5" thickTop="1" thickBot="1" x14ac:dyDescent="0.3">
      <c r="A13" s="51" t="str">
        <f t="shared" si="0"/>
        <v>F04</v>
      </c>
      <c r="B13" s="119" t="str">
        <f>ΓΕΝΙΚΑ!$C$4</f>
        <v>FORTHNET</v>
      </c>
      <c r="C13" s="32">
        <f>IF(R13="",IF(ΓΕΝΙΚΑ!$B$19="ΝΑΙ",14682,""),"")</f>
        <v>14682</v>
      </c>
      <c r="D13" s="156" t="str">
        <f>IF(ΓΕΝΙΚΑ!$B$19="ΝΑΙ","Π. ΚΡΗΤΗΣ","")</f>
        <v>Π. ΚΡΗΤΗΣ</v>
      </c>
      <c r="E13" s="47" t="s">
        <v>410</v>
      </c>
      <c r="F13" s="47">
        <v>50</v>
      </c>
      <c r="G13" s="55">
        <v>7.8614623243933417E-3</v>
      </c>
      <c r="H13" s="109">
        <f t="shared" si="1"/>
        <v>0.01</v>
      </c>
      <c r="I13" s="55">
        <v>2.419344971264366</v>
      </c>
      <c r="J13" s="109">
        <f t="shared" si="2"/>
        <v>2.42</v>
      </c>
      <c r="K13" s="117">
        <f t="shared" si="3"/>
        <v>2</v>
      </c>
      <c r="L13" s="58"/>
      <c r="M13" s="120" t="str">
        <f t="shared" si="4"/>
        <v/>
      </c>
      <c r="N13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3" s="162" t="str">
        <f t="shared" si="6"/>
        <v>Οποτεδήποτε μέσα σε 8 ώρες</v>
      </c>
      <c r="P13" s="163">
        <f t="shared" si="6"/>
        <v>0</v>
      </c>
      <c r="Q13" s="138"/>
      <c r="R13" s="92" t="str">
        <f t="shared" si="5"/>
        <v/>
      </c>
      <c r="S13" s="95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1" t="s">
        <v>531</v>
      </c>
      <c r="U13" s="181" t="s">
        <v>533</v>
      </c>
      <c r="V13" s="181"/>
      <c r="W13" s="181"/>
      <c r="X13" s="181" t="s">
        <v>532</v>
      </c>
      <c r="Y13" s="182" t="s">
        <v>865</v>
      </c>
    </row>
    <row r="14" spans="1:25" s="13" customFormat="1" ht="76.5" thickTop="1" thickBot="1" x14ac:dyDescent="0.3">
      <c r="A14" s="51" t="str">
        <f t="shared" si="0"/>
        <v>F04</v>
      </c>
      <c r="B14" s="119" t="str">
        <f>ΓΕΝΙΚΑ!$C$4</f>
        <v>FORTHNET</v>
      </c>
      <c r="C14" s="154">
        <f>IF(R14="",IF(ΓΕΝΙΚΑ!$B$19="ΝΑΙ",14684,""),"")</f>
        <v>14684</v>
      </c>
      <c r="D14" s="155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5">
        <v>0.41255731922398586</v>
      </c>
      <c r="H14" s="109">
        <f t="shared" si="1"/>
        <v>0.41</v>
      </c>
      <c r="I14" s="55">
        <v>4.0142163458614633</v>
      </c>
      <c r="J14" s="109">
        <f t="shared" si="2"/>
        <v>4.01</v>
      </c>
      <c r="K14" s="117">
        <f t="shared" si="3"/>
        <v>4</v>
      </c>
      <c r="L14" s="58"/>
      <c r="M14" s="120" t="str">
        <f t="shared" si="4"/>
        <v/>
      </c>
      <c r="N14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4" s="162" t="str">
        <f t="shared" si="6"/>
        <v>Οποτεδήποτε μέσα σε 8 ώρες</v>
      </c>
      <c r="P14" s="163">
        <f t="shared" si="6"/>
        <v>0</v>
      </c>
      <c r="Q14" s="138"/>
      <c r="R14" s="92" t="str">
        <f t="shared" si="5"/>
        <v/>
      </c>
      <c r="S14" s="95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1" t="s">
        <v>531</v>
      </c>
      <c r="U14" s="181" t="s">
        <v>533</v>
      </c>
      <c r="V14" s="181"/>
      <c r="W14" s="181"/>
      <c r="X14" s="181" t="s">
        <v>532</v>
      </c>
      <c r="Y14" s="182" t="s">
        <v>865</v>
      </c>
    </row>
    <row r="15" spans="1:25" s="13" customFormat="1" ht="76.5" thickTop="1" thickBot="1" x14ac:dyDescent="0.3">
      <c r="A15" s="51" t="str">
        <f t="shared" si="0"/>
        <v>F04</v>
      </c>
      <c r="B15" s="119" t="str">
        <f>ΓΕΝΙΚΑ!$C$4</f>
        <v>FORTHNET</v>
      </c>
      <c r="C15" s="32">
        <f>IF(R15="",IF(ΓΕΝΙΚΑ!$B$19="ΝΑΙ",14686,""),"")</f>
        <v>14686</v>
      </c>
      <c r="D15" s="156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5">
        <v>9.8621194761159464E-2</v>
      </c>
      <c r="H15" s="109">
        <f t="shared" si="1"/>
        <v>0.1</v>
      </c>
      <c r="I15" s="55">
        <v>3.2454814535360326</v>
      </c>
      <c r="J15" s="109">
        <f t="shared" si="2"/>
        <v>3.25</v>
      </c>
      <c r="K15" s="117">
        <f t="shared" si="3"/>
        <v>3</v>
      </c>
      <c r="L15" s="58"/>
      <c r="M15" s="120" t="str">
        <f t="shared" si="4"/>
        <v/>
      </c>
      <c r="N15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5" s="162" t="str">
        <f t="shared" si="6"/>
        <v>Οποτεδήποτε μέσα σε 8 ώρες</v>
      </c>
      <c r="P15" s="163">
        <f t="shared" si="6"/>
        <v>0</v>
      </c>
      <c r="Q15" s="138"/>
      <c r="R15" s="92" t="str">
        <f t="shared" si="5"/>
        <v/>
      </c>
      <c r="S15" s="95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1" t="s">
        <v>531</v>
      </c>
      <c r="U15" s="181" t="s">
        <v>533</v>
      </c>
      <c r="V15" s="181"/>
      <c r="W15" s="181"/>
      <c r="X15" s="181" t="s">
        <v>532</v>
      </c>
      <c r="Y15" s="182" t="s">
        <v>865</v>
      </c>
    </row>
    <row r="16" spans="1:25" s="13" customFormat="1" ht="76.5" thickTop="1" thickBot="1" x14ac:dyDescent="0.3">
      <c r="A16" s="51" t="str">
        <f t="shared" si="0"/>
        <v>F04</v>
      </c>
      <c r="B16" s="119" t="str">
        <f>ΓΕΝΙΚΑ!$C$4</f>
        <v>FORTHNET</v>
      </c>
      <c r="C16" s="157">
        <f>IF(R16="",IF(ΓΕΝΙΚΑ!$B$19="ΝΑΙ",14688,""),"")</f>
        <v>14688</v>
      </c>
      <c r="D16" s="158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5">
        <v>0.1742476851851853</v>
      </c>
      <c r="H16" s="112">
        <f t="shared" si="1"/>
        <v>0.17</v>
      </c>
      <c r="I16" s="55">
        <v>2.772246228886853</v>
      </c>
      <c r="J16" s="112">
        <f t="shared" si="2"/>
        <v>2.77</v>
      </c>
      <c r="K16" s="49">
        <f t="shared" si="3"/>
        <v>3</v>
      </c>
      <c r="L16" s="59"/>
      <c r="M16" s="113" t="str">
        <f t="shared" si="4"/>
        <v/>
      </c>
      <c r="N16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6" s="162" t="str">
        <f t="shared" si="6"/>
        <v>Οποτεδήποτε μέσα σε 8 ώρες</v>
      </c>
      <c r="P16" s="163">
        <f t="shared" si="6"/>
        <v>0</v>
      </c>
      <c r="Q16" s="138"/>
      <c r="R16" s="92" t="str">
        <f t="shared" si="5"/>
        <v/>
      </c>
      <c r="S16" s="95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1" t="s">
        <v>531</v>
      </c>
      <c r="U16" s="181" t="s">
        <v>533</v>
      </c>
      <c r="V16" s="181"/>
      <c r="W16" s="181"/>
      <c r="X16" s="181" t="s">
        <v>532</v>
      </c>
      <c r="Y16" s="182" t="s">
        <v>865</v>
      </c>
    </row>
    <row r="17" spans="1:25" s="13" customFormat="1" ht="76.5" thickTop="1" thickBot="1" x14ac:dyDescent="0.3">
      <c r="A17" s="51" t="str">
        <f t="shared" si="0"/>
        <v>F04</v>
      </c>
      <c r="B17" s="119" t="str">
        <f>ΓΕΝΙΚΑ!$C$4</f>
        <v>FORTHNET</v>
      </c>
      <c r="C17" s="34">
        <f>IF(R17="",IF(ΓΕΝΙΚΑ!$B$19="ΝΑΙ",15300,""),"")</f>
        <v>15300</v>
      </c>
      <c r="D17" s="153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1.82</v>
      </c>
      <c r="H17" s="109">
        <f t="shared" si="1"/>
        <v>1.82</v>
      </c>
      <c r="I17" s="55">
        <v>7.54</v>
      </c>
      <c r="J17" s="109">
        <f t="shared" si="2"/>
        <v>7.54</v>
      </c>
      <c r="K17" s="118">
        <f t="shared" si="3"/>
        <v>9</v>
      </c>
      <c r="L17" s="53"/>
      <c r="M17" s="53" t="str">
        <f>M3</f>
        <v/>
      </c>
      <c r="N17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7" s="162" t="str">
        <f t="shared" si="6"/>
        <v>Οποτεδήποτε μέσα σε 8 ώρες</v>
      </c>
      <c r="P17" s="163">
        <f t="shared" si="6"/>
        <v>0</v>
      </c>
      <c r="Q17" s="138"/>
      <c r="R17" s="92" t="str">
        <f t="shared" si="5"/>
        <v/>
      </c>
      <c r="S17" s="95" t="str">
        <f>IF(K17="",T3,"")</f>
        <v/>
      </c>
      <c r="T17" s="181"/>
      <c r="U17" s="181"/>
      <c r="V17" s="181"/>
      <c r="W17" s="181"/>
      <c r="X17" s="181"/>
      <c r="Y17" s="182" t="s">
        <v>865</v>
      </c>
    </row>
    <row r="18" spans="1:25" s="13" customFormat="1" ht="76.5" thickTop="1" thickBot="1" x14ac:dyDescent="0.3">
      <c r="A18" s="51" t="str">
        <f t="shared" si="0"/>
        <v>F04</v>
      </c>
      <c r="B18" s="119" t="str">
        <f>ΓΕΝΙΚΑ!$C$4</f>
        <v>FORTHNET</v>
      </c>
      <c r="C18" s="154">
        <f>IF(R18="",IF(ΓΕΝΙΚΑ!$B$19="ΝΑΙ",14664,""),"")</f>
        <v>14664</v>
      </c>
      <c r="D18" s="155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5">
        <v>1.822138989776714</v>
      </c>
      <c r="H18" s="109">
        <f t="shared" si="1"/>
        <v>1.82</v>
      </c>
      <c r="I18" s="55">
        <v>8.928489753481438</v>
      </c>
      <c r="J18" s="109">
        <f t="shared" si="2"/>
        <v>8.93</v>
      </c>
      <c r="K18" s="47">
        <f t="shared" si="3"/>
        <v>11</v>
      </c>
      <c r="L18" s="53"/>
      <c r="M18" s="53" t="str">
        <f t="shared" ref="M18:M30" si="7">M4</f>
        <v/>
      </c>
      <c r="N18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8" s="162" t="str">
        <f t="shared" si="6"/>
        <v>Οποτεδήποτε μέσα σε 8 ώρες</v>
      </c>
      <c r="P18" s="163">
        <f t="shared" si="6"/>
        <v>0</v>
      </c>
      <c r="Q18" s="138"/>
      <c r="R18" s="92" t="str">
        <f t="shared" si="5"/>
        <v/>
      </c>
      <c r="S18" s="95" t="str">
        <f>IF(AND(ΠΕΡΙΦΕΡΕΙΑ!B2="Καθόλου",OR(G4&lt;&gt;"",I4&lt;&gt;"",L4&lt;&gt;"")),Y4,IF(AND(K18="",ΠΕΡΙΦΕΡΕΙΑ!B2&lt;&gt;"Καθόλου"),T4,""))</f>
        <v/>
      </c>
      <c r="T18" s="181"/>
      <c r="U18" s="181"/>
      <c r="V18" s="181"/>
      <c r="W18" s="181"/>
      <c r="X18" s="181"/>
      <c r="Y18" s="182" t="s">
        <v>865</v>
      </c>
    </row>
    <row r="19" spans="1:25" s="13" customFormat="1" ht="76.5" thickTop="1" thickBot="1" x14ac:dyDescent="0.3">
      <c r="A19" s="51" t="str">
        <f t="shared" si="0"/>
        <v>F04</v>
      </c>
      <c r="B19" s="119" t="str">
        <f>ΓΕΝΙΚΑ!$C$4</f>
        <v>FORTHNET</v>
      </c>
      <c r="C19" s="32">
        <f>IF(R19="",IF(ΓΕΝΙΚΑ!$B$19="ΝΑΙ",14666,""),"")</f>
        <v>14666</v>
      </c>
      <c r="D19" s="156" t="str">
        <f>IF(ΓΕΝΙΚΑ!$B$19="ΝΑΙ","Π. ΑΤΤΙΚΗΣ","")</f>
        <v>Π. ΑΤΤΙΚΗΣ</v>
      </c>
      <c r="E19" s="47" t="s">
        <v>39</v>
      </c>
      <c r="F19" s="47">
        <v>95</v>
      </c>
      <c r="G19" s="55">
        <v>2.2322989273650484</v>
      </c>
      <c r="H19" s="109">
        <f t="shared" si="1"/>
        <v>2.23</v>
      </c>
      <c r="I19" s="55">
        <v>7.2879298532253172</v>
      </c>
      <c r="J19" s="109">
        <f t="shared" si="2"/>
        <v>7.29</v>
      </c>
      <c r="K19" s="47">
        <f t="shared" si="3"/>
        <v>10</v>
      </c>
      <c r="L19" s="53"/>
      <c r="M19" s="53" t="str">
        <f t="shared" si="7"/>
        <v/>
      </c>
      <c r="N19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19" s="162" t="str">
        <f t="shared" si="6"/>
        <v>Οποτεδήποτε μέσα σε 8 ώρες</v>
      </c>
      <c r="P19" s="163">
        <f t="shared" si="6"/>
        <v>0</v>
      </c>
      <c r="Q19" s="138"/>
      <c r="R19" s="92" t="str">
        <f t="shared" si="5"/>
        <v/>
      </c>
      <c r="S19" s="95" t="str">
        <f>IF(AND(ΠΕΡΙΦΕΡΕΙΑ!B3="Καθόλου",OR(G5&lt;&gt;"",I5&lt;&gt;"",L5&lt;&gt;"")),Y5,IF(AND(K19="",ΠΕΡΙΦΕΡΕΙΑ!B3&lt;&gt;"Καθόλου"),T5,""))</f>
        <v/>
      </c>
      <c r="T19" s="181"/>
      <c r="U19" s="181"/>
      <c r="V19" s="181"/>
      <c r="W19" s="181"/>
      <c r="X19" s="181"/>
      <c r="Y19" s="182" t="s">
        <v>865</v>
      </c>
    </row>
    <row r="20" spans="1:25" s="13" customFormat="1" ht="76.5" thickTop="1" thickBot="1" x14ac:dyDescent="0.3">
      <c r="A20" s="51" t="str">
        <f t="shared" si="0"/>
        <v>F04</v>
      </c>
      <c r="B20" s="119" t="str">
        <f>ΓΕΝΙΚΑ!$C$4</f>
        <v>FORTHNET</v>
      </c>
      <c r="C20" s="154">
        <f>IF(R20="",IF(ΓΕΝΙΚΑ!$B$19="ΝΑΙ",14668,""),"")</f>
        <v>14668</v>
      </c>
      <c r="D20" s="155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5">
        <v>1.579033697063889</v>
      </c>
      <c r="H20" s="109">
        <f t="shared" si="1"/>
        <v>1.58</v>
      </c>
      <c r="I20" s="55">
        <v>9.7108428643872529</v>
      </c>
      <c r="J20" s="109">
        <f t="shared" si="2"/>
        <v>9.7100000000000009</v>
      </c>
      <c r="K20" s="47">
        <f t="shared" si="3"/>
        <v>11</v>
      </c>
      <c r="L20" s="53"/>
      <c r="M20" s="53" t="str">
        <f t="shared" si="7"/>
        <v/>
      </c>
      <c r="N20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0" s="162" t="str">
        <f t="shared" si="6"/>
        <v>Οποτεδήποτε μέσα σε 8 ώρες</v>
      </c>
      <c r="P20" s="163">
        <f t="shared" si="6"/>
        <v>0</v>
      </c>
      <c r="Q20" s="138"/>
      <c r="R20" s="92" t="str">
        <f t="shared" si="5"/>
        <v/>
      </c>
      <c r="S20" s="95" t="str">
        <f>IF(AND(ΠΕΡΙΦΕΡΕΙΑ!B4="Καθόλου",OR(G6&lt;&gt;"",I6&lt;&gt;"",L6&lt;&gt;"")),Y6,IF(AND(K20="",ΠΕΡΙΦΕΡΕΙΑ!B4&lt;&gt;"Καθόλου"),T6,""))</f>
        <v/>
      </c>
      <c r="T20" s="181"/>
      <c r="U20" s="181"/>
      <c r="V20" s="181"/>
      <c r="W20" s="181"/>
      <c r="X20" s="181"/>
      <c r="Y20" s="182" t="s">
        <v>865</v>
      </c>
    </row>
    <row r="21" spans="1:25" s="13" customFormat="1" ht="76.5" thickTop="1" thickBot="1" x14ac:dyDescent="0.3">
      <c r="A21" s="51" t="str">
        <f t="shared" si="0"/>
        <v>F04</v>
      </c>
      <c r="B21" s="119" t="str">
        <f>ΓΕΝΙΚΑ!$C$4</f>
        <v>FORTHNET</v>
      </c>
      <c r="C21" s="32">
        <f>IF(R21="",IF(ΓΕΝΙΚΑ!$B$19="ΝΑΙ",14670,""),"")</f>
        <v>14670</v>
      </c>
      <c r="D21" s="156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5">
        <v>1.8240904748256468</v>
      </c>
      <c r="H21" s="109">
        <f t="shared" si="1"/>
        <v>1.82</v>
      </c>
      <c r="I21" s="55">
        <v>8.19286122456292</v>
      </c>
      <c r="J21" s="109">
        <f t="shared" si="2"/>
        <v>8.19</v>
      </c>
      <c r="K21" s="47">
        <f t="shared" si="3"/>
        <v>10</v>
      </c>
      <c r="L21" s="53"/>
      <c r="M21" s="53" t="str">
        <f t="shared" si="7"/>
        <v/>
      </c>
      <c r="N21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1" s="162" t="str">
        <f t="shared" si="6"/>
        <v>Οποτεδήποτε μέσα σε 8 ώρες</v>
      </c>
      <c r="P21" s="163">
        <f t="shared" si="6"/>
        <v>0</v>
      </c>
      <c r="Q21" s="138"/>
      <c r="R21" s="92" t="str">
        <f t="shared" si="5"/>
        <v/>
      </c>
      <c r="S21" s="95" t="str">
        <f>IF(AND(ΠΕΡΙΦΕΡΕΙΑ!B5="Καθόλου",OR(G7&lt;&gt;"",I7&lt;&gt;"",L7&lt;&gt;"")),Y7,IF(AND(K21="",ΠΕΡΙΦΕΡΕΙΑ!B5&lt;&gt;"Καθόλου"),T7,""))</f>
        <v/>
      </c>
      <c r="T21" s="181"/>
      <c r="U21" s="181"/>
      <c r="V21" s="181"/>
      <c r="W21" s="181"/>
      <c r="X21" s="181"/>
      <c r="Y21" s="182" t="s">
        <v>865</v>
      </c>
    </row>
    <row r="22" spans="1:25" s="13" customFormat="1" ht="76.5" thickTop="1" thickBot="1" x14ac:dyDescent="0.3">
      <c r="A22" s="51" t="str">
        <f t="shared" si="0"/>
        <v>F04</v>
      </c>
      <c r="B22" s="119" t="str">
        <f>ΓΕΝΙΚΑ!$C$4</f>
        <v>FORTHNET</v>
      </c>
      <c r="C22" s="154">
        <f>IF(R22="",IF(ΓΕΝΙΚΑ!$B$19="ΝΑΙ",14672,""),"")</f>
        <v>14672</v>
      </c>
      <c r="D22" s="155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5">
        <v>1.0010144711429236</v>
      </c>
      <c r="H22" s="109">
        <f t="shared" si="1"/>
        <v>1</v>
      </c>
      <c r="I22" s="55">
        <v>5.8997939743808221</v>
      </c>
      <c r="J22" s="109">
        <f t="shared" si="2"/>
        <v>5.9</v>
      </c>
      <c r="K22" s="47">
        <f t="shared" si="3"/>
        <v>7</v>
      </c>
      <c r="L22" s="53"/>
      <c r="M22" s="53" t="str">
        <f t="shared" si="7"/>
        <v/>
      </c>
      <c r="N22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2" s="162" t="str">
        <f t="shared" si="6"/>
        <v>Οποτεδήποτε μέσα σε 8 ώρες</v>
      </c>
      <c r="P22" s="163">
        <f t="shared" si="6"/>
        <v>0</v>
      </c>
      <c r="Q22" s="138"/>
      <c r="R22" s="92" t="str">
        <f t="shared" si="5"/>
        <v/>
      </c>
      <c r="S22" s="95" t="str">
        <f>IF(AND(ΠΕΡΙΦΕΡΕΙΑ!B6="Καθόλου",OR(G8&lt;&gt;"",I8&lt;&gt;"",L8&lt;&gt;"")),Y8,IF(AND(K22="",ΠΕΡΙΦΕΡΕΙΑ!B6&lt;&gt;"Καθόλου"),T8,""))</f>
        <v/>
      </c>
      <c r="T22" s="181"/>
      <c r="U22" s="181"/>
      <c r="V22" s="181"/>
      <c r="W22" s="181"/>
      <c r="X22" s="181"/>
      <c r="Y22" s="182" t="s">
        <v>865</v>
      </c>
    </row>
    <row r="23" spans="1:25" s="13" customFormat="1" ht="76.5" thickTop="1" thickBot="1" x14ac:dyDescent="0.3">
      <c r="A23" s="51" t="str">
        <f t="shared" si="0"/>
        <v>F04</v>
      </c>
      <c r="B23" s="119" t="str">
        <f>ΓΕΝΙΚΑ!$C$4</f>
        <v>FORTHNET</v>
      </c>
      <c r="C23" s="32">
        <f>IF(R23="",IF(ΓΕΝΙΚΑ!$B$19="ΝΑΙ",14674,""),"")</f>
        <v>14674</v>
      </c>
      <c r="D23" s="156" t="str">
        <f>IF(ΓΕΝΙΚΑ!$B$19="ΝΑΙ","Π. ΗΠΕΙΡΟΥ","")</f>
        <v>Π. ΗΠΕΙΡΟΥ</v>
      </c>
      <c r="E23" s="47" t="s">
        <v>406</v>
      </c>
      <c r="F23" s="47">
        <v>95</v>
      </c>
      <c r="G23" s="55">
        <v>1.2828464154944454</v>
      </c>
      <c r="H23" s="109">
        <f t="shared" si="1"/>
        <v>1.28</v>
      </c>
      <c r="I23" s="55">
        <v>5.0165596846846823</v>
      </c>
      <c r="J23" s="109">
        <f t="shared" si="2"/>
        <v>5.0199999999999996</v>
      </c>
      <c r="K23" s="47">
        <f t="shared" si="3"/>
        <v>6</v>
      </c>
      <c r="L23" s="53"/>
      <c r="M23" s="53" t="str">
        <f t="shared" si="7"/>
        <v/>
      </c>
      <c r="N23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3" s="162" t="str">
        <f t="shared" si="6"/>
        <v>Οποτεδήποτε μέσα σε 8 ώρες</v>
      </c>
      <c r="P23" s="163">
        <f t="shared" si="6"/>
        <v>0</v>
      </c>
      <c r="Q23" s="138"/>
      <c r="R23" s="92" t="str">
        <f t="shared" si="5"/>
        <v/>
      </c>
      <c r="S23" s="95" t="str">
        <f>IF(AND(ΠΕΡΙΦΕΡΕΙΑ!B7="Καθόλου",OR(G9&lt;&gt;"",I9&lt;&gt;"",L9&lt;&gt;"")),Y9,IF(AND(K23="",ΠΕΡΙΦΕΡΕΙΑ!B7&lt;&gt;"Καθόλου"),T9,""))</f>
        <v/>
      </c>
      <c r="T23" s="181"/>
      <c r="U23" s="181"/>
      <c r="V23" s="181"/>
      <c r="W23" s="181"/>
      <c r="X23" s="181"/>
      <c r="Y23" s="182" t="s">
        <v>865</v>
      </c>
    </row>
    <row r="24" spans="1:25" s="13" customFormat="1" ht="76.5" thickTop="1" thickBot="1" x14ac:dyDescent="0.3">
      <c r="A24" s="51" t="str">
        <f t="shared" si="0"/>
        <v>F04</v>
      </c>
      <c r="B24" s="119" t="str">
        <f>ΓΕΝΙΚΑ!$C$4</f>
        <v>FORTHNET</v>
      </c>
      <c r="C24" s="154">
        <f>IF(R24="",IF(ΓΕΝΙΚΑ!$B$19="ΝΑΙ",14676,""),"")</f>
        <v>14676</v>
      </c>
      <c r="D24" s="155" t="str">
        <f>IF(ΓΕΝΙΚΑ!$B$19="ΝΑΙ","Π. ΘΕΣΣΑΛΙΑΣ","")</f>
        <v>Π. ΘΕΣΣΑΛΙΑΣ</v>
      </c>
      <c r="E24" s="46" t="s">
        <v>407</v>
      </c>
      <c r="F24" s="47">
        <v>95</v>
      </c>
      <c r="G24" s="55">
        <v>0.99003504612354976</v>
      </c>
      <c r="H24" s="109">
        <f t="shared" si="1"/>
        <v>0.99</v>
      </c>
      <c r="I24" s="55">
        <v>10.564022998433757</v>
      </c>
      <c r="J24" s="109">
        <f t="shared" si="2"/>
        <v>10.56</v>
      </c>
      <c r="K24" s="47">
        <f t="shared" si="3"/>
        <v>12</v>
      </c>
      <c r="L24" s="53"/>
      <c r="M24" s="53" t="str">
        <f t="shared" si="7"/>
        <v/>
      </c>
      <c r="N24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4" s="162" t="str">
        <f t="shared" si="6"/>
        <v>Οποτεδήποτε μέσα σε 8 ώρες</v>
      </c>
      <c r="P24" s="163">
        <f t="shared" si="6"/>
        <v>0</v>
      </c>
      <c r="Q24" s="138"/>
      <c r="R24" s="92" t="str">
        <f t="shared" si="5"/>
        <v/>
      </c>
      <c r="S24" s="95" t="str">
        <f>IF(AND(ΠΕΡΙΦΕΡΕΙΑ!B8="Καθόλου",OR(G10&lt;&gt;"",I10&lt;&gt;"",L10&lt;&gt;"")),Y10,IF(AND(K24="",ΠΕΡΙΦΕΡΕΙΑ!B8&lt;&gt;"Καθόλου"),T10,""))</f>
        <v/>
      </c>
      <c r="T24" s="181"/>
      <c r="U24" s="181"/>
      <c r="V24" s="181"/>
      <c r="W24" s="181"/>
      <c r="X24" s="181"/>
      <c r="Y24" s="182" t="s">
        <v>865</v>
      </c>
    </row>
    <row r="25" spans="1:25" s="13" customFormat="1" ht="76.5" thickTop="1" thickBot="1" x14ac:dyDescent="0.3">
      <c r="A25" s="51" t="str">
        <f t="shared" si="0"/>
        <v>F04</v>
      </c>
      <c r="B25" s="119" t="str">
        <f>ΓΕΝΙΚΑ!$C$4</f>
        <v>FORTHNET</v>
      </c>
      <c r="C25" s="32">
        <f>IF(R25="",IF(ΓΕΝΙΚΑ!$B$19="ΝΑΙ",14678,""),"")</f>
        <v>14678</v>
      </c>
      <c r="D25" s="156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5">
        <v>2.4453556631870743</v>
      </c>
      <c r="H25" s="109">
        <f t="shared" si="1"/>
        <v>2.4500000000000002</v>
      </c>
      <c r="I25" s="55">
        <v>7.5653317041165389</v>
      </c>
      <c r="J25" s="109">
        <f t="shared" si="2"/>
        <v>7.57</v>
      </c>
      <c r="K25" s="47">
        <f t="shared" si="3"/>
        <v>10</v>
      </c>
      <c r="L25" s="53"/>
      <c r="M25" s="53" t="str">
        <f t="shared" si="7"/>
        <v/>
      </c>
      <c r="N25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5" s="162" t="str">
        <f t="shared" si="6"/>
        <v>Οποτεδήποτε μέσα σε 8 ώρες</v>
      </c>
      <c r="P25" s="163">
        <f t="shared" si="6"/>
        <v>0</v>
      </c>
      <c r="Q25" s="138"/>
      <c r="R25" s="92" t="str">
        <f t="shared" si="5"/>
        <v/>
      </c>
      <c r="S25" s="95" t="str">
        <f>IF(AND(ΠΕΡΙΦΕΡΕΙΑ!B9="Καθόλου",OR(G11&lt;&gt;"",I11&lt;&gt;"",L11&lt;&gt;"")),Y11,IF(AND(K25="",ΠΕΡΙΦΕΡΕΙΑ!B9&lt;&gt;"Καθόλου"),T11,""))</f>
        <v/>
      </c>
      <c r="T25" s="181"/>
      <c r="U25" s="181"/>
      <c r="V25" s="181"/>
      <c r="W25" s="181"/>
      <c r="X25" s="181"/>
      <c r="Y25" s="182" t="s">
        <v>865</v>
      </c>
    </row>
    <row r="26" spans="1:25" s="13" customFormat="1" ht="76.5" thickTop="1" thickBot="1" x14ac:dyDescent="0.3">
      <c r="A26" s="51" t="str">
        <f t="shared" si="0"/>
        <v>F04</v>
      </c>
      <c r="B26" s="119" t="str">
        <f>ΓΕΝΙΚΑ!$C$4</f>
        <v>FORTHNET</v>
      </c>
      <c r="C26" s="154">
        <f>IF(R26="",IF(ΓΕΝΙΚΑ!$B$19="ΝΑΙ",14680,""),"")</f>
        <v>14680</v>
      </c>
      <c r="D26" s="155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5">
        <v>1.5104855672442654</v>
      </c>
      <c r="H26" s="109">
        <f t="shared" si="1"/>
        <v>1.51</v>
      </c>
      <c r="I26" s="55">
        <v>6.5351956582964137</v>
      </c>
      <c r="J26" s="109">
        <f t="shared" si="2"/>
        <v>6.54</v>
      </c>
      <c r="K26" s="47">
        <f t="shared" si="3"/>
        <v>8</v>
      </c>
      <c r="L26" s="53"/>
      <c r="M26" s="53" t="str">
        <f t="shared" si="7"/>
        <v/>
      </c>
      <c r="N26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6" s="162" t="str">
        <f t="shared" si="6"/>
        <v>Οποτεδήποτε μέσα σε 8 ώρες</v>
      </c>
      <c r="P26" s="163">
        <f t="shared" si="6"/>
        <v>0</v>
      </c>
      <c r="Q26" s="138"/>
      <c r="R26" s="92" t="str">
        <f t="shared" si="5"/>
        <v/>
      </c>
      <c r="S26" s="95" t="str">
        <f>IF(AND(ΠΕΡΙΦΕΡΕΙΑ!B10="Καθόλου",OR(G12&lt;&gt;"",I12&lt;&gt;"",L12&lt;&gt;"")),Y12,IF(AND(K26="",ΠΕΡΙΦΕΡΕΙΑ!B10&lt;&gt;"Καθόλου"),T12,""))</f>
        <v/>
      </c>
      <c r="T26" s="181"/>
      <c r="U26" s="181"/>
      <c r="V26" s="181"/>
      <c r="W26" s="181"/>
      <c r="X26" s="181"/>
      <c r="Y26" s="182" t="s">
        <v>865</v>
      </c>
    </row>
    <row r="27" spans="1:25" s="13" customFormat="1" ht="76.5" thickTop="1" thickBot="1" x14ac:dyDescent="0.3">
      <c r="A27" s="51" t="str">
        <f t="shared" si="0"/>
        <v>F04</v>
      </c>
      <c r="B27" s="119" t="str">
        <f>ΓΕΝΙΚΑ!$C$4</f>
        <v>FORTHNET</v>
      </c>
      <c r="C27" s="32">
        <f>IF(R27="",IF(ΓΕΝΙΚΑ!$B$19="ΝΑΙ",14682,""),"")</f>
        <v>14682</v>
      </c>
      <c r="D27" s="156" t="str">
        <f>IF(ΓΕΝΙΚΑ!$B$19="ΝΑΙ","Π. ΚΡΗΤΗΣ","")</f>
        <v>Π. ΚΡΗΤΗΣ</v>
      </c>
      <c r="E27" s="47" t="s">
        <v>410</v>
      </c>
      <c r="F27" s="47">
        <v>95</v>
      </c>
      <c r="G27" s="55">
        <v>1.1111687883002741</v>
      </c>
      <c r="H27" s="109">
        <f t="shared" si="1"/>
        <v>1.1100000000000001</v>
      </c>
      <c r="I27" s="55">
        <v>7.7997867195479156</v>
      </c>
      <c r="J27" s="109">
        <f t="shared" si="2"/>
        <v>7.8</v>
      </c>
      <c r="K27" s="47">
        <f t="shared" si="3"/>
        <v>9</v>
      </c>
      <c r="L27" s="53"/>
      <c r="M27" s="53" t="str">
        <f t="shared" si="7"/>
        <v/>
      </c>
      <c r="N27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7" s="162" t="str">
        <f t="shared" si="6"/>
        <v>Οποτεδήποτε μέσα σε 8 ώρες</v>
      </c>
      <c r="P27" s="163">
        <f t="shared" si="6"/>
        <v>0</v>
      </c>
      <c r="Q27" s="138"/>
      <c r="R27" s="92" t="str">
        <f t="shared" si="5"/>
        <v/>
      </c>
      <c r="S27" s="95" t="str">
        <f>IF(AND(ΠΕΡΙΦΕΡΕΙΑ!B11="Καθόλου",OR(G13&lt;&gt;"",I13&lt;&gt;"",L13&lt;&gt;"")),Y13,IF(AND(K27="",ΠΕΡΙΦΕΡΕΙΑ!B11&lt;&gt;"Καθόλου"),T13,""))</f>
        <v/>
      </c>
      <c r="T27" s="181"/>
      <c r="U27" s="181"/>
      <c r="V27" s="181"/>
      <c r="W27" s="181"/>
      <c r="X27" s="181"/>
      <c r="Y27" s="182" t="s">
        <v>865</v>
      </c>
    </row>
    <row r="28" spans="1:25" s="13" customFormat="1" ht="76.5" thickTop="1" thickBot="1" x14ac:dyDescent="0.3">
      <c r="A28" s="51" t="str">
        <f t="shared" si="0"/>
        <v>F04</v>
      </c>
      <c r="B28" s="119" t="str">
        <f>ΓΕΝΙΚΑ!$C$4</f>
        <v>FORTHNET</v>
      </c>
      <c r="C28" s="154">
        <f>IF(R28="",IF(ΓΕΝΙΚΑ!$B$19="ΝΑΙ",14684,""),"")</f>
        <v>14684</v>
      </c>
      <c r="D28" s="155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5">
        <v>2.3682350287301204</v>
      </c>
      <c r="H28" s="109">
        <f t="shared" si="1"/>
        <v>2.37</v>
      </c>
      <c r="I28" s="55">
        <v>8.8238771747655136</v>
      </c>
      <c r="J28" s="109">
        <f t="shared" si="2"/>
        <v>8.82</v>
      </c>
      <c r="K28" s="47">
        <f t="shared" si="3"/>
        <v>11</v>
      </c>
      <c r="L28" s="53"/>
      <c r="M28" s="53" t="str">
        <f t="shared" si="7"/>
        <v/>
      </c>
      <c r="N28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8" s="162" t="str">
        <f t="shared" si="6"/>
        <v>Οποτεδήποτε μέσα σε 8 ώρες</v>
      </c>
      <c r="P28" s="163">
        <f t="shared" si="6"/>
        <v>0</v>
      </c>
      <c r="Q28" s="138"/>
      <c r="R28" s="92" t="str">
        <f t="shared" si="5"/>
        <v/>
      </c>
      <c r="S28" s="95" t="str">
        <f>IF(AND(ΠΕΡΙΦΕΡΕΙΑ!B12="Καθόλου",OR(G14&lt;&gt;"",I14&lt;&gt;"",L14&lt;&gt;"")),Y14,IF(AND(K28="",ΠΕΡΙΦΕΡΕΙΑ!B12&lt;&gt;"Καθόλου"),T14,""))</f>
        <v/>
      </c>
      <c r="T28" s="181"/>
      <c r="U28" s="181"/>
      <c r="V28" s="181"/>
      <c r="W28" s="181"/>
      <c r="X28" s="181"/>
      <c r="Y28" s="182" t="s">
        <v>865</v>
      </c>
    </row>
    <row r="29" spans="1:25" s="13" customFormat="1" ht="76.5" thickTop="1" thickBot="1" x14ac:dyDescent="0.3">
      <c r="A29" s="51" t="str">
        <f t="shared" si="0"/>
        <v>F04</v>
      </c>
      <c r="B29" s="119" t="str">
        <f>ΓΕΝΙΚΑ!$C$4</f>
        <v>FORTHNET</v>
      </c>
      <c r="C29" s="32">
        <f>IF(R29="",IF(ΓΕΝΙΚΑ!$B$19="ΝΑΙ",14686,""),"")</f>
        <v>14686</v>
      </c>
      <c r="D29" s="156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5">
        <v>1.3686369904957871</v>
      </c>
      <c r="H29" s="109">
        <f t="shared" si="1"/>
        <v>1.37</v>
      </c>
      <c r="I29" s="55">
        <v>9.3313849818734038</v>
      </c>
      <c r="J29" s="109">
        <f t="shared" si="2"/>
        <v>9.33</v>
      </c>
      <c r="K29" s="47">
        <f t="shared" si="3"/>
        <v>11</v>
      </c>
      <c r="L29" s="53"/>
      <c r="M29" s="53" t="str">
        <f t="shared" si="7"/>
        <v/>
      </c>
      <c r="N29" s="162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29" s="162" t="str">
        <f t="shared" si="6"/>
        <v>Οποτεδήποτε μέσα σε 8 ώρες</v>
      </c>
      <c r="P29" s="163">
        <f t="shared" si="6"/>
        <v>0</v>
      </c>
      <c r="Q29" s="138"/>
      <c r="R29" s="92" t="str">
        <f t="shared" si="5"/>
        <v/>
      </c>
      <c r="S29" s="95" t="str">
        <f>IF(AND(ΠΕΡΙΦΕΡΕΙΑ!B13="Καθόλου",OR(G15&lt;&gt;"",I15&lt;&gt;"",L15&lt;&gt;"")),Y15,IF(AND(K29="",ΠΕΡΙΦΕΡΕΙΑ!B13&lt;&gt;"Καθόλου"),T15,""))</f>
        <v/>
      </c>
      <c r="T29" s="181"/>
      <c r="U29" s="181"/>
      <c r="V29" s="181"/>
      <c r="W29" s="181"/>
      <c r="X29" s="181"/>
      <c r="Y29" s="182" t="s">
        <v>865</v>
      </c>
    </row>
    <row r="30" spans="1:25" s="13" customFormat="1" ht="76.5" thickTop="1" thickBot="1" x14ac:dyDescent="0.3">
      <c r="A30" s="52" t="str">
        <f t="shared" si="0"/>
        <v>F04</v>
      </c>
      <c r="B30" s="119" t="str">
        <f>ΓΕΝΙΚΑ!$C$4</f>
        <v>FORTHNET</v>
      </c>
      <c r="C30" s="157">
        <f>IF(R30="",IF(ΓΕΝΙΚΑ!$B$19="ΝΑΙ",14688,""),"")</f>
        <v>14688</v>
      </c>
      <c r="D30" s="158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5">
        <v>1.5697671972008156</v>
      </c>
      <c r="H30" s="112">
        <f t="shared" si="1"/>
        <v>1.57</v>
      </c>
      <c r="I30" s="55">
        <v>5.3221052772425574</v>
      </c>
      <c r="J30" s="109">
        <f t="shared" si="2"/>
        <v>5.32</v>
      </c>
      <c r="K30" s="49">
        <f t="shared" si="3"/>
        <v>7</v>
      </c>
      <c r="L30" s="54"/>
      <c r="M30" s="54" t="str">
        <f t="shared" si="7"/>
        <v/>
      </c>
      <c r="N30" s="164" t="str">
        <f t="shared" si="6"/>
        <v xml:space="preserve">Μέσω Καταστημάτων: Ωράριο καταστημάτων 
Μέσω Τηλεφώνου 13831:  Δευτέρα - Παρασκευή 08:00 - 22:00 , Σάββατο - Κυριακή 09:00 - 21:00    </v>
      </c>
      <c r="O30" s="164" t="str">
        <f t="shared" si="6"/>
        <v>Οποτεδήποτε μέσα σε 8 ώρες</v>
      </c>
      <c r="P30" s="165">
        <f>P$3</f>
        <v>0</v>
      </c>
      <c r="Q30" s="138"/>
      <c r="R30" s="93" t="str">
        <f t="shared" si="5"/>
        <v/>
      </c>
      <c r="S30" s="95" t="str">
        <f>IF(AND(ΠΕΡΙΦΕΡΕΙΑ!B14="Καθόλου",OR(G16&lt;&gt;"",I16&lt;&gt;"",L16&lt;&gt;"")),Y16,IF(AND(K30="",ΠΕΡΙΦΕΡΕΙΑ!B14&lt;&gt;"Καθόλου"),T16,""))</f>
        <v/>
      </c>
      <c r="T30" s="181"/>
      <c r="U30" s="181"/>
      <c r="V30" s="181"/>
      <c r="W30" s="181"/>
      <c r="X30" s="181"/>
      <c r="Y30" s="182" t="s">
        <v>865</v>
      </c>
    </row>
  </sheetData>
  <sheetProtection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85" zoomScaleNormal="85" workbookViewId="0">
      <selection activeCell="G15" sqref="G15"/>
    </sheetView>
  </sheetViews>
  <sheetFormatPr defaultColWidth="0" defaultRowHeight="15" zeroHeight="1" x14ac:dyDescent="0.25"/>
  <cols>
    <col min="1" max="1" width="50.140625" style="138" customWidth="1"/>
    <col min="2" max="2" width="22.42578125" style="139" hidden="1" customWidth="1"/>
    <col min="3" max="4" width="23" style="138" hidden="1" customWidth="1"/>
    <col min="5" max="5" width="38.5703125" style="138" customWidth="1"/>
    <col min="6" max="6" width="28.28515625" style="139" customWidth="1"/>
    <col min="7" max="7" width="28.28515625" style="138" customWidth="1"/>
    <col min="8" max="8" width="28.28515625" style="139" hidden="1" customWidth="1"/>
    <col min="9" max="9" width="28.28515625" style="138" customWidth="1"/>
    <col min="10" max="10" width="28.28515625" style="139" hidden="1" customWidth="1"/>
    <col min="11" max="11" width="40.28515625" style="138" customWidth="1"/>
    <col min="12" max="12" width="31.28515625" style="138" customWidth="1"/>
    <col min="13" max="13" width="7.140625" style="138" customWidth="1"/>
    <col min="14" max="14" width="16.140625" style="138" customWidth="1"/>
    <col min="15" max="15" width="51.28515625" style="138" customWidth="1"/>
    <col min="16" max="16384" width="9.140625" style="138" hidden="1"/>
  </cols>
  <sheetData>
    <row r="1" spans="1:15" ht="15.75" hidden="1" thickBot="1" x14ac:dyDescent="0.3">
      <c r="A1" t="s">
        <v>478</v>
      </c>
      <c r="B1" s="110" t="s">
        <v>479</v>
      </c>
      <c r="C1" s="2" t="s">
        <v>538</v>
      </c>
      <c r="D1" s="2" t="s">
        <v>539</v>
      </c>
      <c r="E1" s="2" t="s">
        <v>480</v>
      </c>
      <c r="F1" s="110" t="s">
        <v>497</v>
      </c>
      <c r="G1" t="s">
        <v>482</v>
      </c>
      <c r="H1" s="110" t="s">
        <v>498</v>
      </c>
      <c r="I1" t="s">
        <v>482</v>
      </c>
      <c r="J1" s="110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1" t="s">
        <v>27</v>
      </c>
      <c r="C2" s="4"/>
      <c r="D2" s="4"/>
      <c r="E2" s="4" t="s">
        <v>473</v>
      </c>
      <c r="F2" s="111" t="s">
        <v>516</v>
      </c>
      <c r="G2" s="4" t="s">
        <v>518</v>
      </c>
      <c r="H2" s="111" t="s">
        <v>518</v>
      </c>
      <c r="I2" s="4" t="s">
        <v>517</v>
      </c>
      <c r="J2" s="111" t="s">
        <v>517</v>
      </c>
      <c r="K2" s="4" t="s">
        <v>455</v>
      </c>
      <c r="L2" s="76" t="s">
        <v>420</v>
      </c>
      <c r="N2" s="88" t="s">
        <v>448</v>
      </c>
      <c r="O2" s="89" t="s">
        <v>525</v>
      </c>
    </row>
    <row r="3" spans="1:15" ht="31.5" thickTop="1" thickBot="1" x14ac:dyDescent="0.3">
      <c r="A3" s="25" t="s">
        <v>474</v>
      </c>
      <c r="B3" s="114" t="str">
        <f>ΓΕΝΙΚΑ!$C$4</f>
        <v>FORTHNET</v>
      </c>
      <c r="C3" s="34">
        <f>IF(N3="",IF(ΓΕΝΙΚΑ!$B$20="ΝΑΙ",15300,""),"")</f>
        <v>15300</v>
      </c>
      <c r="D3" s="153" t="str">
        <f>IF(ΓΕΝΙΚΑ!$B$20="ΝΑΙ","ΠΑΝΕΛΛΑΔΙΚΑ","")</f>
        <v>ΠΑΝΕΛΛΑΔΙΚΑ</v>
      </c>
      <c r="E3" s="26" t="s">
        <v>486</v>
      </c>
      <c r="F3" s="109">
        <f>IF(AND(ISNUMBER(G3),ISNUMBER(I3),I3&lt;&gt;0),ROUND(G3/I3,2),"")</f>
        <v>0.05</v>
      </c>
      <c r="G3" s="205">
        <v>29390</v>
      </c>
      <c r="H3" s="208">
        <f>IF(ISNUMBER(G3),ROUND(G3,0),"")</f>
        <v>29390</v>
      </c>
      <c r="I3" s="204">
        <v>536504</v>
      </c>
      <c r="J3" s="166">
        <f>IF(ISNUMBER(I3),ROUND(I3,0),"")</f>
        <v>536504</v>
      </c>
      <c r="K3" s="167" t="s">
        <v>885</v>
      </c>
      <c r="L3" s="168"/>
      <c r="N3" s="92" t="str">
        <f>IF(O3="","","ΣΦΑΛΜΑ")</f>
        <v/>
      </c>
      <c r="O3" s="136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31.5" thickTop="1" thickBot="1" x14ac:dyDescent="0.3">
      <c r="A4" s="27" t="str">
        <f t="shared" ref="A4:A16" si="0">A$3</f>
        <v>F05</v>
      </c>
      <c r="B4" s="114" t="str">
        <f>ΓΕΝΙΚΑ!$C$4</f>
        <v>FORTHNET</v>
      </c>
      <c r="C4" s="154">
        <f>IF(N4="",IF(ΓΕΝΙΚΑ!$B$20="ΝΑΙ",14664,""),"")</f>
        <v>14664</v>
      </c>
      <c r="D4" s="155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9">
        <f t="shared" ref="F4:F16" si="1">IF(AND(ISNUMBER(G4),ISNUMBER(I4),I4&lt;&gt;0),ROUND(G4/I4,2),"")</f>
        <v>0.06</v>
      </c>
      <c r="G4" s="209">
        <v>3026</v>
      </c>
      <c r="H4" s="207">
        <f t="shared" ref="H4:H16" si="2">IF(ISNUMBER(G4),ROUND(G4,0),"")</f>
        <v>3026</v>
      </c>
      <c r="I4" s="206">
        <v>49276.320652173912</v>
      </c>
      <c r="J4" s="166">
        <f t="shared" ref="J4:J16" si="3">IF(ISNUMBER(I4),ROUND(I4,0),"")</f>
        <v>49276</v>
      </c>
      <c r="K4" s="169" t="str">
        <f>K$3</f>
        <v>"Δευτέρα - Κυριακή: 24 ώρες &amp; αργίες Μέσω τηλεφώνου 13831  ή 13731 (ατελώς)"</v>
      </c>
      <c r="L4" s="170">
        <f>L$3</f>
        <v>0</v>
      </c>
      <c r="N4" s="92" t="str">
        <f t="shared" ref="N4:N16" si="4">IF(O4="","","ΣΦΑΛΜΑ")</f>
        <v/>
      </c>
      <c r="O4" s="136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31.5" thickTop="1" thickBot="1" x14ac:dyDescent="0.3">
      <c r="A5" s="27" t="str">
        <f t="shared" si="0"/>
        <v>F05</v>
      </c>
      <c r="B5" s="114" t="str">
        <f>ΓΕΝΙΚΑ!$C$4</f>
        <v>FORTHNET</v>
      </c>
      <c r="C5" s="32">
        <f>IF(N5="",IF(ΓΕΝΙΚΑ!$B$20="ΝΑΙ",14666,""),"")</f>
        <v>14666</v>
      </c>
      <c r="D5" s="156" t="str">
        <f>IF(ΓΕΝΙΚΑ!$B$20="ΝΑΙ","Π. ΑΤΤΙΚΗΣ","")</f>
        <v>Π. ΑΤΤΙΚΗΣ</v>
      </c>
      <c r="E5" s="8" t="s">
        <v>39</v>
      </c>
      <c r="F5" s="109">
        <f t="shared" si="1"/>
        <v>0.05</v>
      </c>
      <c r="G5" s="209">
        <v>12320</v>
      </c>
      <c r="H5" s="207">
        <f t="shared" si="2"/>
        <v>12320</v>
      </c>
      <c r="I5" s="206">
        <v>227352.61956521738</v>
      </c>
      <c r="J5" s="166">
        <f t="shared" si="3"/>
        <v>227353</v>
      </c>
      <c r="K5" s="169" t="str">
        <f t="shared" ref="K5:L16" si="5">K$3</f>
        <v>"Δευτέρα - Κυριακή: 24 ώρες &amp; αργίες Μέσω τηλεφώνου 13831  ή 13731 (ατελώς)"</v>
      </c>
      <c r="L5" s="170">
        <f t="shared" si="5"/>
        <v>0</v>
      </c>
      <c r="N5" s="92" t="str">
        <f t="shared" si="4"/>
        <v/>
      </c>
      <c r="O5" s="136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31.5" thickTop="1" thickBot="1" x14ac:dyDescent="0.3">
      <c r="A6" s="27" t="str">
        <f t="shared" si="0"/>
        <v>F05</v>
      </c>
      <c r="B6" s="114" t="str">
        <f>ΓΕΝΙΚΑ!$C$4</f>
        <v>FORTHNET</v>
      </c>
      <c r="C6" s="154">
        <f>IF(N6="",IF(ΓΕΝΙΚΑ!$B$20="ΝΑΙ",14668,""),"")</f>
        <v>14668</v>
      </c>
      <c r="D6" s="155" t="str">
        <f>IF(ΓΕΝΙΚΑ!$B$20="ΝΑΙ","Π. ΒΟΡΕΙΟΥ ΑΙΓΑΙΟΥ","")</f>
        <v>Π. ΒΟΡΕΙΟΥ ΑΙΓΑΙΟΥ</v>
      </c>
      <c r="E6" s="8" t="s">
        <v>403</v>
      </c>
      <c r="F6" s="109">
        <f t="shared" si="1"/>
        <v>7.0000000000000007E-2</v>
      </c>
      <c r="G6" s="209">
        <v>1561</v>
      </c>
      <c r="H6" s="207">
        <f t="shared" si="2"/>
        <v>1561</v>
      </c>
      <c r="I6" s="206">
        <v>20943.978260869564</v>
      </c>
      <c r="J6" s="166">
        <f t="shared" si="3"/>
        <v>20944</v>
      </c>
      <c r="K6" s="169" t="str">
        <f t="shared" si="5"/>
        <v>"Δευτέρα - Κυριακή: 24 ώρες &amp; αργίες Μέσω τηλεφώνου 13831  ή 13731 (ατελώς)"</v>
      </c>
      <c r="L6" s="170">
        <f t="shared" si="5"/>
        <v>0</v>
      </c>
      <c r="N6" s="92" t="str">
        <f t="shared" si="4"/>
        <v/>
      </c>
      <c r="O6" s="136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31.5" thickTop="1" thickBot="1" x14ac:dyDescent="0.3">
      <c r="A7" s="27" t="str">
        <f t="shared" si="0"/>
        <v>F05</v>
      </c>
      <c r="B7" s="114" t="str">
        <f>ΓΕΝΙΚΑ!$C$4</f>
        <v>FORTHNET</v>
      </c>
      <c r="C7" s="32">
        <f>IF(N7="",IF(ΓΕΝΙΚΑ!$B$20="ΝΑΙ",14670,""),"")</f>
        <v>14670</v>
      </c>
      <c r="D7" s="156" t="str">
        <f>IF(ΓΕΝΙΚΑ!$B$20="ΝΑΙ","Π. ΔΥΤΙΚΗΣ ΕΛΛΑΔΑΣ","")</f>
        <v>Π. ΔΥΤΙΚΗΣ ΕΛΛΑΔΑΣ</v>
      </c>
      <c r="E7" s="8" t="s">
        <v>404</v>
      </c>
      <c r="F7" s="109">
        <f t="shared" si="1"/>
        <v>0.05</v>
      </c>
      <c r="G7" s="209">
        <v>710</v>
      </c>
      <c r="H7" s="207">
        <f t="shared" si="2"/>
        <v>710</v>
      </c>
      <c r="I7" s="206">
        <v>14284.217391304348</v>
      </c>
      <c r="J7" s="166">
        <f t="shared" si="3"/>
        <v>14284</v>
      </c>
      <c r="K7" s="169" t="str">
        <f t="shared" si="5"/>
        <v>"Δευτέρα - Κυριακή: 24 ώρες &amp; αργίες Μέσω τηλεφώνου 13831  ή 13731 (ατελώς)"</v>
      </c>
      <c r="L7" s="170">
        <f t="shared" si="5"/>
        <v>0</v>
      </c>
      <c r="N7" s="92" t="str">
        <f t="shared" si="4"/>
        <v/>
      </c>
      <c r="O7" s="136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31.5" thickTop="1" thickBot="1" x14ac:dyDescent="0.3">
      <c r="A8" s="27" t="str">
        <f t="shared" si="0"/>
        <v>F05</v>
      </c>
      <c r="B8" s="114" t="str">
        <f>ΓΕΝΙΚΑ!$C$4</f>
        <v>FORTHNET</v>
      </c>
      <c r="C8" s="154">
        <f>IF(N8="",IF(ΓΕΝΙΚΑ!$B$20="ΝΑΙ",14672,""),"")</f>
        <v>14672</v>
      </c>
      <c r="D8" s="155" t="str">
        <f>IF(ΓΕΝΙΚΑ!$B$20="ΝΑΙ","Π. ΔΥΤΙΚΗΣ ΜΑΚΕΔΟΝΙΑΣ","")</f>
        <v>Π. ΔΥΤΙΚΗΣ ΜΑΚΕΔΟΝΙΑΣ</v>
      </c>
      <c r="E8" s="8" t="s">
        <v>405</v>
      </c>
      <c r="F8" s="109">
        <f t="shared" si="1"/>
        <v>0.08</v>
      </c>
      <c r="G8" s="209">
        <v>669</v>
      </c>
      <c r="H8" s="207">
        <f t="shared" si="2"/>
        <v>669</v>
      </c>
      <c r="I8" s="206">
        <v>8813.3532608695659</v>
      </c>
      <c r="J8" s="166">
        <f t="shared" si="3"/>
        <v>8813</v>
      </c>
      <c r="K8" s="169" t="str">
        <f t="shared" si="5"/>
        <v>"Δευτέρα - Κυριακή: 24 ώρες &amp; αργίες Μέσω τηλεφώνου 13831  ή 13731 (ατελώς)"</v>
      </c>
      <c r="L8" s="170">
        <f t="shared" si="5"/>
        <v>0</v>
      </c>
      <c r="N8" s="92" t="str">
        <f t="shared" si="4"/>
        <v/>
      </c>
      <c r="O8" s="136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31.5" thickTop="1" thickBot="1" x14ac:dyDescent="0.3">
      <c r="A9" s="27" t="str">
        <f t="shared" si="0"/>
        <v>F05</v>
      </c>
      <c r="B9" s="114" t="str">
        <f>ΓΕΝΙΚΑ!$C$4</f>
        <v>FORTHNET</v>
      </c>
      <c r="C9" s="32">
        <f>IF(N9="",IF(ΓΕΝΙΚΑ!$B$20="ΝΑΙ",14674,""),"")</f>
        <v>14674</v>
      </c>
      <c r="D9" s="156" t="str">
        <f>IF(ΓΕΝΙΚΑ!$B$20="ΝΑΙ","Π. ΗΠΕΙΡΟΥ","")</f>
        <v>Π. ΗΠΕΙΡΟΥ</v>
      </c>
      <c r="E9" s="8" t="s">
        <v>406</v>
      </c>
      <c r="F9" s="109">
        <f t="shared" si="1"/>
        <v>0.04</v>
      </c>
      <c r="G9" s="209">
        <v>356</v>
      </c>
      <c r="H9" s="207">
        <f t="shared" si="2"/>
        <v>356</v>
      </c>
      <c r="I9" s="206">
        <v>9372.527173913044</v>
      </c>
      <c r="J9" s="166">
        <f t="shared" si="3"/>
        <v>9373</v>
      </c>
      <c r="K9" s="169" t="str">
        <f t="shared" si="5"/>
        <v>"Δευτέρα - Κυριακή: 24 ώρες &amp; αργίες Μέσω τηλεφώνου 13831  ή 13731 (ατελώς)"</v>
      </c>
      <c r="L9" s="170">
        <f t="shared" si="5"/>
        <v>0</v>
      </c>
      <c r="N9" s="92" t="str">
        <f t="shared" si="4"/>
        <v/>
      </c>
      <c r="O9" s="136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31.5" thickTop="1" thickBot="1" x14ac:dyDescent="0.3">
      <c r="A10" s="27" t="str">
        <f t="shared" si="0"/>
        <v>F05</v>
      </c>
      <c r="B10" s="114" t="str">
        <f>ΓΕΝΙΚΑ!$C$4</f>
        <v>FORTHNET</v>
      </c>
      <c r="C10" s="154">
        <f>IF(N10="",IF(ΓΕΝΙΚΑ!$B$20="ΝΑΙ",14676,""),"")</f>
        <v>14676</v>
      </c>
      <c r="D10" s="155" t="str">
        <f>IF(ΓΕΝΙΚΑ!$B$20="ΝΑΙ","Π. ΘΕΣΣΑΛΙΑΣ","")</f>
        <v>Π. ΘΕΣΣΑΛΙΑΣ</v>
      </c>
      <c r="E10" s="8" t="s">
        <v>407</v>
      </c>
      <c r="F10" s="109">
        <f t="shared" si="1"/>
        <v>0.02</v>
      </c>
      <c r="G10" s="209">
        <v>539</v>
      </c>
      <c r="H10" s="207">
        <f t="shared" si="2"/>
        <v>539</v>
      </c>
      <c r="I10" s="206">
        <v>21722.304347826088</v>
      </c>
      <c r="J10" s="166">
        <f t="shared" si="3"/>
        <v>21722</v>
      </c>
      <c r="K10" s="169" t="str">
        <f t="shared" si="5"/>
        <v>"Δευτέρα - Κυριακή: 24 ώρες &amp; αργίες Μέσω τηλεφώνου 13831  ή 13731 (ατελώς)"</v>
      </c>
      <c r="L10" s="170">
        <f t="shared" si="5"/>
        <v>0</v>
      </c>
      <c r="N10" s="92" t="str">
        <f t="shared" si="4"/>
        <v/>
      </c>
      <c r="O10" s="136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31.5" thickTop="1" thickBot="1" x14ac:dyDescent="0.3">
      <c r="A11" s="27" t="str">
        <f t="shared" si="0"/>
        <v>F05</v>
      </c>
      <c r="B11" s="114" t="str">
        <f>ΓΕΝΙΚΑ!$C$4</f>
        <v>FORTHNET</v>
      </c>
      <c r="C11" s="32">
        <f>IF(N11="",IF(ΓΕΝΙΚΑ!$B$20="ΝΑΙ",14678,""),"")</f>
        <v>14678</v>
      </c>
      <c r="D11" s="156" t="str">
        <f>IF(ΓΕΝΙΚΑ!$B$20="ΝΑΙ","Π. ΙΟΝΙΩΝ ΝΗΣΩΝ","")</f>
        <v>Π. ΙΟΝΙΩΝ ΝΗΣΩΝ</v>
      </c>
      <c r="E11" s="8" t="s">
        <v>408</v>
      </c>
      <c r="F11" s="109">
        <f t="shared" si="1"/>
        <v>0.04</v>
      </c>
      <c r="G11" s="209">
        <v>248</v>
      </c>
      <c r="H11" s="207">
        <f t="shared" si="2"/>
        <v>248</v>
      </c>
      <c r="I11" s="206">
        <v>5752.021739130435</v>
      </c>
      <c r="J11" s="166">
        <f t="shared" si="3"/>
        <v>5752</v>
      </c>
      <c r="K11" s="169" t="str">
        <f t="shared" si="5"/>
        <v>"Δευτέρα - Κυριακή: 24 ώρες &amp; αργίες Μέσω τηλεφώνου 13831  ή 13731 (ατελώς)"</v>
      </c>
      <c r="L11" s="170">
        <f t="shared" si="5"/>
        <v>0</v>
      </c>
      <c r="N11" s="92" t="str">
        <f t="shared" si="4"/>
        <v/>
      </c>
      <c r="O11" s="136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31.5" thickTop="1" thickBot="1" x14ac:dyDescent="0.3">
      <c r="A12" s="27" t="str">
        <f t="shared" si="0"/>
        <v>F05</v>
      </c>
      <c r="B12" s="114" t="str">
        <f>ΓΕΝΙΚΑ!$C$4</f>
        <v>FORTHNET</v>
      </c>
      <c r="C12" s="154">
        <f>IF(N12="",IF(ΓΕΝΙΚΑ!$B$20="ΝΑΙ",14680,""),"")</f>
        <v>14680</v>
      </c>
      <c r="D12" s="155" t="str">
        <f>IF(ΓΕΝΙΚΑ!$B$20="ΝΑΙ","Π. ΚΕΝΤΡΙΚΗΣ ΜΑΚΕΔΟΝΙΑΣ","")</f>
        <v>Π. ΚΕΝΤΡΙΚΗΣ ΜΑΚΕΔΟΝΙΑΣ</v>
      </c>
      <c r="E12" s="8" t="s">
        <v>409</v>
      </c>
      <c r="F12" s="109">
        <f t="shared" si="1"/>
        <v>0.06</v>
      </c>
      <c r="G12" s="209">
        <v>6509</v>
      </c>
      <c r="H12" s="207">
        <f t="shared" si="2"/>
        <v>6509</v>
      </c>
      <c r="I12" s="206">
        <v>116812.54347826086</v>
      </c>
      <c r="J12" s="166">
        <f t="shared" si="3"/>
        <v>116813</v>
      </c>
      <c r="K12" s="169" t="str">
        <f t="shared" si="5"/>
        <v>"Δευτέρα - Κυριακή: 24 ώρες &amp; αργίες Μέσω τηλεφώνου 13831  ή 13731 (ατελώς)"</v>
      </c>
      <c r="L12" s="170">
        <f t="shared" si="5"/>
        <v>0</v>
      </c>
      <c r="N12" s="92" t="str">
        <f t="shared" si="4"/>
        <v/>
      </c>
      <c r="O12" s="136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31.5" thickTop="1" thickBot="1" x14ac:dyDescent="0.3">
      <c r="A13" s="27" t="str">
        <f t="shared" si="0"/>
        <v>F05</v>
      </c>
      <c r="B13" s="114" t="str">
        <f>ΓΕΝΙΚΑ!$C$4</f>
        <v>FORTHNET</v>
      </c>
      <c r="C13" s="32">
        <f>IF(N13="",IF(ΓΕΝΙΚΑ!$B$20="ΝΑΙ",14682,""),"")</f>
        <v>14682</v>
      </c>
      <c r="D13" s="156" t="str">
        <f>IF(ΓΕΝΙΚΑ!$B$20="ΝΑΙ","Π. ΚΡΗΤΗΣ","")</f>
        <v>Π. ΚΡΗΤΗΣ</v>
      </c>
      <c r="E13" s="8" t="s">
        <v>410</v>
      </c>
      <c r="F13" s="109">
        <f t="shared" si="1"/>
        <v>0.04</v>
      </c>
      <c r="G13" s="209">
        <v>811</v>
      </c>
      <c r="H13" s="207">
        <f t="shared" si="2"/>
        <v>811</v>
      </c>
      <c r="I13" s="206">
        <v>21750.641304347828</v>
      </c>
      <c r="J13" s="166">
        <f t="shared" si="3"/>
        <v>21751</v>
      </c>
      <c r="K13" s="169" t="str">
        <f t="shared" si="5"/>
        <v>"Δευτέρα - Κυριακή: 24 ώρες &amp; αργίες Μέσω τηλεφώνου 13831  ή 13731 (ατελώς)"</v>
      </c>
      <c r="L13" s="170">
        <f t="shared" si="5"/>
        <v>0</v>
      </c>
      <c r="N13" s="92" t="str">
        <f t="shared" si="4"/>
        <v/>
      </c>
      <c r="O13" s="136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31.5" thickTop="1" thickBot="1" x14ac:dyDescent="0.3">
      <c r="A14" s="27" t="str">
        <f t="shared" si="0"/>
        <v>F05</v>
      </c>
      <c r="B14" s="114" t="str">
        <f>ΓΕΝΙΚΑ!$C$4</f>
        <v>FORTHNET</v>
      </c>
      <c r="C14" s="154">
        <f>IF(N14="",IF(ΓΕΝΙΚΑ!$B$20="ΝΑΙ",14684,""),"")</f>
        <v>14684</v>
      </c>
      <c r="D14" s="155" t="str">
        <f>IF(ΓΕΝΙΚΑ!$B$20="ΝΑΙ","Π. ΝΟΤΙΟΥ ΑΙΓΑΙΟΥ","")</f>
        <v>Π. ΝΟΤΙΟΥ ΑΙΓΑΙΟΥ</v>
      </c>
      <c r="E14" s="8" t="s">
        <v>411</v>
      </c>
      <c r="F14" s="109">
        <f t="shared" si="1"/>
        <v>7.0000000000000007E-2</v>
      </c>
      <c r="G14" s="209">
        <v>1412</v>
      </c>
      <c r="H14" s="207">
        <f t="shared" si="2"/>
        <v>1412</v>
      </c>
      <c r="I14" s="206">
        <v>18948.130434782608</v>
      </c>
      <c r="J14" s="166">
        <f t="shared" si="3"/>
        <v>18948</v>
      </c>
      <c r="K14" s="169" t="str">
        <f t="shared" si="5"/>
        <v>"Δευτέρα - Κυριακή: 24 ώρες &amp; αργίες Μέσω τηλεφώνου 13831  ή 13731 (ατελώς)"</v>
      </c>
      <c r="L14" s="170">
        <f t="shared" si="5"/>
        <v>0</v>
      </c>
      <c r="N14" s="92" t="str">
        <f t="shared" si="4"/>
        <v/>
      </c>
      <c r="O14" s="136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31.5" thickTop="1" thickBot="1" x14ac:dyDescent="0.3">
      <c r="A15" s="27" t="str">
        <f t="shared" si="0"/>
        <v>F05</v>
      </c>
      <c r="B15" s="114" t="str">
        <f>ΓΕΝΙΚΑ!$C$4</f>
        <v>FORTHNET</v>
      </c>
      <c r="C15" s="32">
        <f>IF(N15="",IF(ΓΕΝΙΚΑ!$B$20="ΝΑΙ",14686,""),"")</f>
        <v>14686</v>
      </c>
      <c r="D15" s="156" t="str">
        <f>IF(ΓΕΝΙΚΑ!$B$20="ΝΑΙ","Π. ΠΕΛΟΠΟΝΝΗΣΟΥ","")</f>
        <v>Π. ΠΕΛΟΠΟΝΝΗΣΟΥ</v>
      </c>
      <c r="E15" s="8" t="s">
        <v>412</v>
      </c>
      <c r="F15" s="109">
        <f t="shared" si="1"/>
        <v>0.04</v>
      </c>
      <c r="G15" s="209">
        <v>526</v>
      </c>
      <c r="H15" s="207">
        <f t="shared" si="2"/>
        <v>526</v>
      </c>
      <c r="I15" s="206">
        <v>12250.28804347826</v>
      </c>
      <c r="J15" s="166">
        <f t="shared" si="3"/>
        <v>12250</v>
      </c>
      <c r="K15" s="169" t="str">
        <f t="shared" si="5"/>
        <v>"Δευτέρα - Κυριακή: 24 ώρες &amp; αργίες Μέσω τηλεφώνου 13831  ή 13731 (ατελώς)"</v>
      </c>
      <c r="L15" s="170">
        <f t="shared" si="5"/>
        <v>0</v>
      </c>
      <c r="N15" s="92" t="str">
        <f t="shared" si="4"/>
        <v/>
      </c>
      <c r="O15" s="136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31.5" thickTop="1" thickBot="1" x14ac:dyDescent="0.3">
      <c r="A16" s="28" t="str">
        <f t="shared" si="0"/>
        <v>F05</v>
      </c>
      <c r="B16" s="114" t="str">
        <f>ΓΕΝΙΚΑ!$C$4</f>
        <v>FORTHNET</v>
      </c>
      <c r="C16" s="157">
        <f>IF(N16="",IF(ΓΕΝΙΚΑ!$B$20="ΝΑΙ",14688,""),"")</f>
        <v>14688</v>
      </c>
      <c r="D16" s="158" t="str">
        <f>IF(ΓΕΝΙΚΑ!$B$20="ΝΑΙ","Π. ΣΤΕΡΕΑΣ ΕΛΛΑΔΑΣ","")</f>
        <v>Π. ΣΤΕΡΕΑΣ ΕΛΛΑΔΑΣ</v>
      </c>
      <c r="E16" s="7" t="s">
        <v>413</v>
      </c>
      <c r="F16" s="112">
        <f t="shared" si="1"/>
        <v>0.08</v>
      </c>
      <c r="G16" s="210">
        <v>703</v>
      </c>
      <c r="H16" s="211">
        <f t="shared" si="2"/>
        <v>703</v>
      </c>
      <c r="I16" s="212">
        <v>9225.2119565217399</v>
      </c>
      <c r="J16" s="166">
        <f t="shared" si="3"/>
        <v>9225</v>
      </c>
      <c r="K16" s="171" t="str">
        <f t="shared" si="5"/>
        <v>"Δευτέρα - Κυριακή: 24 ώρες &amp; αργίες Μέσω τηλεφώνου 13831  ή 13731 (ατελώς)"</v>
      </c>
      <c r="L16" s="172">
        <f t="shared" si="5"/>
        <v>0</v>
      </c>
      <c r="N16" s="93" t="str">
        <f t="shared" si="4"/>
        <v/>
      </c>
      <c r="O16" s="173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mfE3NjQO6HcuuG75pMFPRb/2crCLVszr25k2FduvQ2wPiygda3dG+buqpzWIc5diWSbgjrwhx2F6+8dVulDPqA==" saltValue="IFFsI5ybr1pxSSyOY4ic7w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2020-02-12T13:08:37Z</dcterms:modified>
</cp:coreProperties>
</file>