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Myfiles\QI\QI_S1_21\B_S1_2021_indirect\"/>
    </mc:Choice>
  </mc:AlternateContent>
  <xr:revisionPtr revIDLastSave="0" documentId="13_ncr:1_{7E60BB3F-8D87-4307-93EA-446FF9E1B3DA}" xr6:coauthVersionLast="36" xr6:coauthVersionMax="45" xr10:uidLastSave="{00000000-0000-0000-0000-000000000000}"/>
  <workbookProtection workbookAlgorithmName="SHA-512" workbookHashValue="80/2JuFHJN9D6hO9UUYyGjqMQU3eKDMA++EkYmvq8B6C15f23ZPwhrU7gH40AMqAjcTQO332b31CH989CmJLAA==" workbookSaltValue="V/DuNrVIIpC6D3sxiXLHfg==" workbookSpinCount="100000" lockStructure="1"/>
  <bookViews>
    <workbookView xWindow="-120" yWindow="-120" windowWidth="25440" windowHeight="15540" xr2:uid="{00000000-000D-0000-FFFF-FFFF00000000}"/>
  </bookViews>
  <sheets>
    <sheet name="ΓΕΝΙΚΑ" sheetId="6" r:id="rId1"/>
    <sheet name="ΠΕΡΙΦΕΡΕΙΑ" sheetId="3" r:id="rId2"/>
    <sheet name="ΔΗΜΟΣ" sheetId="4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3" l="1"/>
  <c r="T6" i="13"/>
  <c r="T5" i="13"/>
  <c r="T4" i="13"/>
  <c r="T3" i="13"/>
  <c r="J12" i="8" l="1"/>
  <c r="J11" i="8"/>
  <c r="J10" i="8"/>
  <c r="J9" i="8"/>
  <c r="J8" i="8"/>
  <c r="C7" i="13" l="1"/>
  <c r="C6" i="13"/>
  <c r="C5" i="13"/>
  <c r="C4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" i="12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" i="10"/>
  <c r="N6" i="9"/>
  <c r="N5" i="9"/>
  <c r="N4" i="9"/>
  <c r="C6" i="9"/>
  <c r="C5" i="9"/>
  <c r="C4" i="9"/>
  <c r="G5" i="8"/>
  <c r="J7" i="8" l="1"/>
  <c r="J6" i="8"/>
  <c r="J5" i="8"/>
  <c r="J4" i="8"/>
  <c r="J3" i="8"/>
  <c r="E5" i="8"/>
  <c r="D5" i="8"/>
  <c r="L3" i="7"/>
  <c r="J4" i="7"/>
  <c r="J5" i="7"/>
  <c r="J6" i="7"/>
  <c r="J7" i="7"/>
  <c r="J8" i="7"/>
  <c r="J3" i="7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E11" i="1" l="1"/>
  <c r="D11" i="1"/>
  <c r="E3" i="1"/>
  <c r="D3" i="1"/>
  <c r="N3" i="12" l="1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P4" i="11"/>
  <c r="P16" i="11"/>
  <c r="P15" i="11"/>
  <c r="P14" i="11"/>
  <c r="P13" i="11"/>
  <c r="P12" i="11"/>
  <c r="P11" i="11"/>
  <c r="P10" i="11"/>
  <c r="P9" i="11"/>
  <c r="P8" i="11"/>
  <c r="P7" i="11"/>
  <c r="P6" i="11"/>
  <c r="P5" i="11"/>
  <c r="T16" i="10"/>
  <c r="T15" i="10"/>
  <c r="T14" i="10"/>
  <c r="T13" i="10"/>
  <c r="T12" i="10"/>
  <c r="T11" i="10"/>
  <c r="T9" i="10"/>
  <c r="T8" i="10"/>
  <c r="T7" i="10"/>
  <c r="T6" i="10"/>
  <c r="T4" i="10"/>
  <c r="P3" i="7"/>
  <c r="T3" i="12" l="1"/>
  <c r="D7" i="13" l="1"/>
  <c r="D6" i="13"/>
  <c r="D5" i="13"/>
  <c r="D4" i="13"/>
  <c r="D3" i="13"/>
  <c r="C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F8" i="7"/>
  <c r="F7" i="7"/>
  <c r="F6" i="7"/>
  <c r="F5" i="7"/>
  <c r="F4" i="7"/>
  <c r="F3" i="7"/>
  <c r="E8" i="7"/>
  <c r="E7" i="7"/>
  <c r="E6" i="7"/>
  <c r="E5" i="7"/>
  <c r="E4" i="7"/>
  <c r="E3" i="7"/>
  <c r="O16" i="11" l="1"/>
  <c r="O15" i="11"/>
  <c r="O14" i="11"/>
  <c r="O13" i="11"/>
  <c r="O12" i="11"/>
  <c r="O11" i="11"/>
  <c r="O10" i="11"/>
  <c r="O9" i="11"/>
  <c r="O8" i="11"/>
  <c r="O7" i="11"/>
  <c r="O6" i="11"/>
  <c r="O5" i="11"/>
  <c r="O4" i="1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K8" i="7" l="1"/>
  <c r="K7" i="7"/>
  <c r="K6" i="7"/>
  <c r="K5" i="7"/>
  <c r="K4" i="7"/>
  <c r="P4" i="7" s="1"/>
  <c r="T30" i="12" l="1"/>
  <c r="T29" i="12"/>
  <c r="T28" i="12"/>
  <c r="T27" i="12"/>
  <c r="T26" i="12"/>
  <c r="T25" i="12"/>
  <c r="T24" i="12"/>
  <c r="T23" i="12"/>
  <c r="T22" i="12"/>
  <c r="T21" i="12"/>
  <c r="T20" i="12"/>
  <c r="T19" i="12"/>
  <c r="T18" i="12"/>
  <c r="L8" i="7" l="1"/>
  <c r="L7" i="7"/>
  <c r="L6" i="7"/>
  <c r="L5" i="7"/>
  <c r="L4" i="7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T10" i="10" l="1"/>
  <c r="T3" i="10"/>
  <c r="T5" i="10"/>
  <c r="H2" i="14" l="1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U3" i="13" l="1"/>
  <c r="V3" i="13"/>
  <c r="W3" i="13"/>
  <c r="X3" i="13" l="1"/>
  <c r="Y3" i="13" s="1"/>
  <c r="S3" i="13" s="1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K5" i="9" l="1"/>
  <c r="K3" i="9"/>
  <c r="Q3" i="9" l="1"/>
  <c r="N10" i="8"/>
  <c r="N5" i="8"/>
  <c r="Q5" i="9"/>
  <c r="D6" i="9" l="1"/>
  <c r="R3" i="13" l="1"/>
  <c r="S16" i="12"/>
  <c r="D16" i="12" s="1"/>
  <c r="S12" i="12"/>
  <c r="D12" i="12" s="1"/>
  <c r="S8" i="12"/>
  <c r="D8" i="12" s="1"/>
  <c r="S7" i="12"/>
  <c r="D7" i="12" s="1"/>
  <c r="S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C21" i="6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M6" i="9"/>
  <c r="L6" i="9" s="1"/>
  <c r="L5" i="9"/>
  <c r="J6" i="9"/>
  <c r="I6" i="9"/>
  <c r="J4" i="9"/>
  <c r="I4" i="9"/>
  <c r="K4" i="9" s="1"/>
  <c r="D3" i="12" l="1"/>
  <c r="D6" i="12"/>
  <c r="Q4" i="9"/>
  <c r="K6" i="9"/>
  <c r="Q6" i="9" s="1"/>
  <c r="A6" i="9" l="1"/>
  <c r="A5" i="9"/>
  <c r="A4" i="9"/>
  <c r="P6" i="9"/>
  <c r="P5" i="9"/>
  <c r="L3" i="9"/>
  <c r="P3" i="9" l="1"/>
  <c r="O3" i="7" l="1"/>
  <c r="M8" i="7"/>
  <c r="O11" i="1"/>
  <c r="N11" i="1" s="1"/>
  <c r="O3" i="1"/>
  <c r="N3" i="1" s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B6" i="9"/>
  <c r="B5" i="9"/>
  <c r="B4" i="9"/>
  <c r="G10" i="8"/>
  <c r="C14" i="6"/>
  <c r="B3" i="13"/>
  <c r="B3" i="11"/>
  <c r="B3" i="12"/>
  <c r="B3" i="10"/>
  <c r="B4" i="10" s="1"/>
  <c r="B3" i="7"/>
  <c r="B3" i="1"/>
  <c r="B3" i="8"/>
  <c r="B12" i="8" s="1"/>
  <c r="N8" i="8"/>
  <c r="M8" i="8" s="1"/>
  <c r="H7" i="8"/>
  <c r="B4" i="8" l="1"/>
  <c r="B6" i="8"/>
  <c r="B7" i="8"/>
  <c r="B9" i="8"/>
  <c r="B4" i="11"/>
  <c r="B10" i="11"/>
  <c r="B5" i="11"/>
  <c r="B15" i="11"/>
  <c r="B11" i="11"/>
  <c r="B14" i="11"/>
  <c r="B9" i="11"/>
  <c r="B16" i="11"/>
  <c r="B8" i="11"/>
  <c r="B7" i="11"/>
  <c r="B6" i="11"/>
  <c r="B12" i="11"/>
  <c r="B13" i="11"/>
  <c r="B11" i="8"/>
  <c r="B5" i="8"/>
  <c r="B5" i="12"/>
  <c r="B20" i="12"/>
  <c r="B12" i="12"/>
  <c r="B23" i="12"/>
  <c r="B7" i="12"/>
  <c r="B18" i="12"/>
  <c r="B29" i="12"/>
  <c r="B13" i="12"/>
  <c r="B21" i="12"/>
  <c r="B28" i="12"/>
  <c r="B11" i="12"/>
  <c r="B6" i="12"/>
  <c r="B4" i="12"/>
  <c r="B24" i="12"/>
  <c r="B19" i="12"/>
  <c r="B30" i="12"/>
  <c r="B14" i="12"/>
  <c r="B25" i="12"/>
  <c r="B9" i="12"/>
  <c r="B16" i="12"/>
  <c r="B8" i="12"/>
  <c r="B15" i="12"/>
  <c r="B26" i="12"/>
  <c r="B10" i="12"/>
  <c r="B27" i="12"/>
  <c r="B22" i="12"/>
  <c r="B17" i="12"/>
  <c r="B8" i="8"/>
  <c r="B10" i="8"/>
  <c r="A4" i="13"/>
  <c r="B4" i="13"/>
  <c r="F4" i="13"/>
  <c r="G4" i="13"/>
  <c r="A5" i="13"/>
  <c r="B5" i="13"/>
  <c r="F5" i="13"/>
  <c r="G5" i="13"/>
  <c r="A6" i="13"/>
  <c r="B6" i="13"/>
  <c r="F6" i="13"/>
  <c r="G6" i="13"/>
  <c r="A7" i="13"/>
  <c r="B7" i="13"/>
  <c r="F7" i="13"/>
  <c r="G7" i="13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M7" i="7"/>
  <c r="M6" i="7"/>
  <c r="M5" i="7"/>
  <c r="M4" i="7"/>
  <c r="W7" i="13" l="1"/>
  <c r="U7" i="13"/>
  <c r="V7" i="13"/>
  <c r="U4" i="13"/>
  <c r="W4" i="13"/>
  <c r="V4" i="13"/>
  <c r="U6" i="13"/>
  <c r="W6" i="13"/>
  <c r="V6" i="13"/>
  <c r="W5" i="13"/>
  <c r="U5" i="13"/>
  <c r="V5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S4" i="13" s="1"/>
  <c r="R4" i="13" s="1"/>
  <c r="X7" i="13"/>
  <c r="Y7" i="13" s="1"/>
  <c r="S7" i="13" s="1"/>
  <c r="R7" i="13" s="1"/>
  <c r="X5" i="13"/>
  <c r="Y5" i="13" s="1"/>
  <c r="S5" i="13" s="1"/>
  <c r="R5" i="13" s="1"/>
  <c r="X6" i="13"/>
  <c r="Y6" i="13" s="1"/>
  <c r="S6" i="13" s="1"/>
  <c r="R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18" i="1"/>
  <c r="I17" i="1"/>
  <c r="I16" i="1"/>
  <c r="I15" i="1"/>
  <c r="I14" i="1"/>
  <c r="I13" i="1"/>
  <c r="I12" i="1"/>
  <c r="C23" i="6" l="1"/>
  <c r="A11" i="1"/>
  <c r="B18" i="1"/>
  <c r="C11" i="1"/>
  <c r="C12" i="1"/>
  <c r="F18" i="1"/>
  <c r="O18" i="1" s="1"/>
  <c r="N18" i="1" s="1"/>
  <c r="C18" i="1"/>
  <c r="A18" i="1"/>
  <c r="F17" i="1"/>
  <c r="O17" i="1" s="1"/>
  <c r="N17" i="1" s="1"/>
  <c r="C17" i="1"/>
  <c r="A17" i="1"/>
  <c r="F16" i="1"/>
  <c r="O16" i="1" s="1"/>
  <c r="N16" i="1" s="1"/>
  <c r="C16" i="1"/>
  <c r="A16" i="1"/>
  <c r="F15" i="1"/>
  <c r="O15" i="1" s="1"/>
  <c r="N15" i="1" s="1"/>
  <c r="C15" i="1"/>
  <c r="A15" i="1"/>
  <c r="F14" i="1"/>
  <c r="O14" i="1" s="1"/>
  <c r="N14" i="1" s="1"/>
  <c r="C14" i="1"/>
  <c r="A14" i="1"/>
  <c r="F13" i="1"/>
  <c r="O13" i="1" s="1"/>
  <c r="N13" i="1" s="1"/>
  <c r="C13" i="1"/>
  <c r="A13" i="1"/>
  <c r="F12" i="1"/>
  <c r="O12" i="1" s="1"/>
  <c r="N12" i="1" s="1"/>
  <c r="A12" i="1"/>
  <c r="B15" i="1" l="1"/>
  <c r="B12" i="1"/>
  <c r="B17" i="1"/>
  <c r="B13" i="1"/>
  <c r="B11" i="1"/>
  <c r="B14" i="1"/>
  <c r="B16" i="1"/>
  <c r="F4" i="1" l="1"/>
  <c r="O4" i="1" s="1"/>
  <c r="N4" i="1" s="1"/>
  <c r="O4" i="7" l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F5" i="1"/>
  <c r="F9" i="1"/>
  <c r="F6" i="1"/>
  <c r="F10" i="1"/>
  <c r="F7" i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D20" i="12"/>
  <c r="O8" i="1"/>
  <c r="N8" i="1" s="1"/>
  <c r="O6" i="1"/>
  <c r="N6" i="1" s="1"/>
  <c r="O9" i="1"/>
  <c r="N9" i="1" s="1"/>
  <c r="O10" i="1"/>
  <c r="N10" i="1" s="1"/>
  <c r="O7" i="1"/>
  <c r="N7" i="1" s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S18" i="10"/>
  <c r="D18" i="10" s="1"/>
  <c r="T17" i="10"/>
  <c r="S17" i="10" s="1"/>
  <c r="S10" i="10"/>
  <c r="D10" i="10" s="1"/>
  <c r="S4" i="10"/>
  <c r="D4" i="10" s="1"/>
  <c r="D20" i="10" l="1"/>
  <c r="D17" i="10"/>
  <c r="C16" i="6"/>
  <c r="S3" i="10"/>
  <c r="C20" i="6" s="1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P4" i="9" l="1"/>
  <c r="C19" i="6" l="1"/>
  <c r="C18" i="6"/>
  <c r="P8" i="7" l="1"/>
  <c r="C8" i="7"/>
  <c r="B8" i="7"/>
  <c r="A8" i="7"/>
  <c r="P7" i="7"/>
  <c r="C7" i="7"/>
  <c r="B7" i="7"/>
  <c r="A7" i="7"/>
  <c r="P6" i="7"/>
  <c r="C6" i="7"/>
  <c r="B6" i="7"/>
  <c r="A6" i="7"/>
  <c r="P5" i="7"/>
  <c r="C5" i="7"/>
  <c r="B5" i="7"/>
  <c r="A5" i="7"/>
  <c r="C4" i="7"/>
  <c r="B4" i="7"/>
  <c r="A4" i="7"/>
  <c r="O6" i="7" l="1"/>
  <c r="O8" i="7"/>
  <c r="O5" i="7"/>
  <c r="O7" i="7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M200" i="4" s="1"/>
  <c r="J200" i="4"/>
  <c r="K317" i="4"/>
  <c r="M317" i="4" s="1"/>
  <c r="J317" i="4"/>
  <c r="K39" i="4"/>
  <c r="M39" i="4" s="1"/>
  <c r="J39" i="4"/>
  <c r="K312" i="4"/>
  <c r="M312" i="4" s="1"/>
  <c r="J312" i="4"/>
  <c r="K259" i="4"/>
  <c r="M259" i="4" s="1"/>
  <c r="J259" i="4"/>
  <c r="K67" i="4"/>
  <c r="M67" i="4" s="1"/>
  <c r="J67" i="4"/>
  <c r="K295" i="4"/>
  <c r="M295" i="4" s="1"/>
  <c r="J295" i="4"/>
  <c r="K192" i="4"/>
  <c r="M192" i="4" s="1"/>
  <c r="J192" i="4"/>
  <c r="K326" i="4"/>
  <c r="M326" i="4" s="1"/>
  <c r="J326" i="4"/>
  <c r="K278" i="4"/>
  <c r="M278" i="4" s="1"/>
  <c r="J278" i="4"/>
  <c r="K124" i="4"/>
  <c r="M124" i="4" s="1"/>
  <c r="J124" i="4"/>
  <c r="K235" i="4"/>
  <c r="M235" i="4" s="1"/>
  <c r="J235" i="4"/>
  <c r="K187" i="4"/>
  <c r="M187" i="4" s="1"/>
  <c r="J187" i="4"/>
  <c r="K139" i="4"/>
  <c r="M139" i="4" s="1"/>
  <c r="J139" i="4"/>
  <c r="K86" i="4"/>
  <c r="M86" i="4" s="1"/>
  <c r="J86" i="4"/>
  <c r="K38" i="4"/>
  <c r="M38" i="4" s="1"/>
  <c r="J38" i="4"/>
  <c r="K250" i="4"/>
  <c r="M250" i="4" s="1"/>
  <c r="J250" i="4"/>
  <c r="K202" i="4"/>
  <c r="M202" i="4" s="1"/>
  <c r="J202" i="4"/>
  <c r="K170" i="4"/>
  <c r="M170" i="4" s="1"/>
  <c r="J170" i="4"/>
  <c r="K122" i="4"/>
  <c r="M122" i="4" s="1"/>
  <c r="J122" i="4"/>
  <c r="K73" i="4"/>
  <c r="M73" i="4" s="1"/>
  <c r="J73" i="4"/>
  <c r="K41" i="4"/>
  <c r="M41" i="4" s="1"/>
  <c r="J41" i="4"/>
  <c r="K257" i="4"/>
  <c r="M257" i="4" s="1"/>
  <c r="J257" i="4"/>
  <c r="K209" i="4"/>
  <c r="M209" i="4" s="1"/>
  <c r="J209" i="4"/>
  <c r="K145" i="4"/>
  <c r="M145" i="4" s="1"/>
  <c r="J145" i="4"/>
  <c r="K97" i="4"/>
  <c r="M97" i="4" s="1"/>
  <c r="J97" i="4"/>
  <c r="K60" i="4"/>
  <c r="M60" i="4" s="1"/>
  <c r="J60" i="4"/>
  <c r="K10" i="4"/>
  <c r="M10" i="4" s="1"/>
  <c r="J10" i="4"/>
  <c r="K11" i="4"/>
  <c r="M11" i="4" s="1"/>
  <c r="J11" i="4"/>
  <c r="K95" i="4"/>
  <c r="M95" i="4" s="1"/>
  <c r="J95" i="4"/>
  <c r="K260" i="4"/>
  <c r="M260" i="4" s="1"/>
  <c r="J260" i="4"/>
  <c r="K23" i="4"/>
  <c r="M23" i="4" s="1"/>
  <c r="J23" i="4"/>
  <c r="K268" i="4"/>
  <c r="M268" i="4" s="1"/>
  <c r="J268" i="4"/>
  <c r="K120" i="4"/>
  <c r="M120" i="4" s="1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M51" i="4" s="1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M176" i="4" s="1"/>
  <c r="J176" i="4"/>
  <c r="K112" i="4"/>
  <c r="M112" i="4" s="1"/>
  <c r="J112" i="4"/>
  <c r="K47" i="4"/>
  <c r="M47" i="4" s="1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M27" i="4" s="1"/>
  <c r="J27" i="4"/>
  <c r="K247" i="4"/>
  <c r="M247" i="4" s="1"/>
  <c r="J247" i="4"/>
  <c r="K231" i="4"/>
  <c r="M231" i="4" s="1"/>
  <c r="J231" i="4"/>
  <c r="K215" i="4"/>
  <c r="M215" i="4" s="1"/>
  <c r="J215" i="4"/>
  <c r="K199" i="4"/>
  <c r="M199" i="4" s="1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M66" i="4" s="1"/>
  <c r="J66" i="4"/>
  <c r="K50" i="4"/>
  <c r="M50" i="4" s="1"/>
  <c r="J50" i="4"/>
  <c r="K34" i="4"/>
  <c r="M34" i="4" s="1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M198" i="4" s="1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M69" i="4" s="1"/>
  <c r="J69" i="4"/>
  <c r="K53" i="4"/>
  <c r="M53" i="4" s="1"/>
  <c r="J53" i="4"/>
  <c r="K37" i="4"/>
  <c r="M37" i="4" s="1"/>
  <c r="J37" i="4"/>
  <c r="K21" i="4"/>
  <c r="M21" i="4" s="1"/>
  <c r="J21" i="4"/>
  <c r="K269" i="4"/>
  <c r="M269" i="4" s="1"/>
  <c r="J269" i="4"/>
  <c r="K253" i="4"/>
  <c r="M253" i="4" s="1"/>
  <c r="J253" i="4"/>
  <c r="K237" i="4"/>
  <c r="M237" i="4" s="1"/>
  <c r="J237" i="4"/>
  <c r="K221" i="4"/>
  <c r="M221" i="4" s="1"/>
  <c r="J221" i="4"/>
  <c r="K205" i="4"/>
  <c r="M205" i="4" s="1"/>
  <c r="J205" i="4"/>
  <c r="K189" i="4"/>
  <c r="M189" i="4" s="1"/>
  <c r="J189" i="4"/>
  <c r="K173" i="4"/>
  <c r="M173" i="4" s="1"/>
  <c r="J173" i="4"/>
  <c r="K157" i="4"/>
  <c r="M157" i="4" s="1"/>
  <c r="J157" i="4"/>
  <c r="K141" i="4"/>
  <c r="M141" i="4" s="1"/>
  <c r="J141" i="4"/>
  <c r="K125" i="4"/>
  <c r="M125" i="4" s="1"/>
  <c r="J125" i="4"/>
  <c r="K109" i="4"/>
  <c r="M109" i="4" s="1"/>
  <c r="J109" i="4"/>
  <c r="K88" i="4"/>
  <c r="M88" i="4" s="1"/>
  <c r="J88" i="4"/>
  <c r="K72" i="4"/>
  <c r="M72" i="4" s="1"/>
  <c r="J72" i="4"/>
  <c r="K56" i="4"/>
  <c r="M56" i="4" s="1"/>
  <c r="J56" i="4"/>
  <c r="K40" i="4"/>
  <c r="M40" i="4" s="1"/>
  <c r="J40" i="4"/>
  <c r="K24" i="4"/>
  <c r="M24" i="4" s="1"/>
  <c r="J24" i="4"/>
  <c r="K5" i="4"/>
  <c r="J5" i="4"/>
  <c r="K7" i="4"/>
  <c r="M7" i="4" s="1"/>
  <c r="J7" i="4"/>
  <c r="K91" i="4"/>
  <c r="M91" i="4" s="1"/>
  <c r="J91" i="4"/>
  <c r="K216" i="4"/>
  <c r="M216" i="4" s="1"/>
  <c r="J216" i="4"/>
  <c r="K273" i="4"/>
  <c r="M273" i="4" s="1"/>
  <c r="J273" i="4"/>
  <c r="K296" i="4"/>
  <c r="M296" i="4" s="1"/>
  <c r="J296" i="4"/>
  <c r="K196" i="4"/>
  <c r="M196" i="4" s="1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M251" i="4" s="1"/>
  <c r="J251" i="4"/>
  <c r="K203" i="4"/>
  <c r="M203" i="4" s="1"/>
  <c r="J203" i="4"/>
  <c r="K155" i="4"/>
  <c r="M155" i="4" s="1"/>
  <c r="J155" i="4"/>
  <c r="K107" i="4"/>
  <c r="M107" i="4" s="1"/>
  <c r="J107" i="4"/>
  <c r="K54" i="4"/>
  <c r="M54" i="4" s="1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M25" i="4" s="1"/>
  <c r="J25" i="4"/>
  <c r="K241" i="4"/>
  <c r="M241" i="4" s="1"/>
  <c r="J241" i="4"/>
  <c r="K193" i="4"/>
  <c r="M193" i="4" s="1"/>
  <c r="J193" i="4"/>
  <c r="K161" i="4"/>
  <c r="M161" i="4" s="1"/>
  <c r="J161" i="4"/>
  <c r="K113" i="4"/>
  <c r="M113" i="4" s="1"/>
  <c r="J113" i="4"/>
  <c r="K44" i="4"/>
  <c r="M44" i="4" s="1"/>
  <c r="J44" i="4"/>
  <c r="K71" i="4"/>
  <c r="M71" i="4" s="1"/>
  <c r="J71" i="4"/>
  <c r="K87" i="4"/>
  <c r="M87" i="4" s="1"/>
  <c r="J87" i="4"/>
  <c r="K184" i="4"/>
  <c r="M184" i="4" s="1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M288" i="4" s="1"/>
  <c r="J288" i="4"/>
  <c r="K272" i="4"/>
  <c r="M272" i="4" s="1"/>
  <c r="J272" i="4"/>
  <c r="K228" i="4"/>
  <c r="M228" i="4" s="1"/>
  <c r="J228" i="4"/>
  <c r="K164" i="4"/>
  <c r="M164" i="4" s="1"/>
  <c r="J164" i="4"/>
  <c r="K100" i="4"/>
  <c r="M100" i="4" s="1"/>
  <c r="J100" i="4"/>
  <c r="K35" i="4"/>
  <c r="M35" i="4" s="1"/>
  <c r="J35" i="4"/>
  <c r="K319" i="4"/>
  <c r="M319" i="4" s="1"/>
  <c r="J319" i="4"/>
  <c r="K303" i="4"/>
  <c r="M303" i="4" s="1"/>
  <c r="J303" i="4"/>
  <c r="K287" i="4"/>
  <c r="M287" i="4" s="1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M286" i="4" s="1"/>
  <c r="J286" i="4"/>
  <c r="K270" i="4"/>
  <c r="M270" i="4" s="1"/>
  <c r="J270" i="4"/>
  <c r="K220" i="4"/>
  <c r="M220" i="4" s="1"/>
  <c r="J220" i="4"/>
  <c r="K156" i="4"/>
  <c r="M156" i="4" s="1"/>
  <c r="J156" i="4"/>
  <c r="K75" i="4"/>
  <c r="M75" i="4" s="1"/>
  <c r="J75" i="4"/>
  <c r="K9" i="4"/>
  <c r="M9" i="4" s="1"/>
  <c r="J9" i="4"/>
  <c r="K243" i="4"/>
  <c r="M243" i="4" s="1"/>
  <c r="J243" i="4"/>
  <c r="K227" i="4"/>
  <c r="M227" i="4" s="1"/>
  <c r="J227" i="4"/>
  <c r="K211" i="4"/>
  <c r="M211" i="4" s="1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M115" i="4" s="1"/>
  <c r="J115" i="4"/>
  <c r="K99" i="4"/>
  <c r="M99" i="4" s="1"/>
  <c r="J99" i="4"/>
  <c r="K78" i="4"/>
  <c r="M78" i="4" s="1"/>
  <c r="J78" i="4"/>
  <c r="K62" i="4"/>
  <c r="M62" i="4" s="1"/>
  <c r="J62" i="4"/>
  <c r="K46" i="4"/>
  <c r="M46" i="4" s="1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M49" i="4" s="1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M217" i="4" s="1"/>
  <c r="J217" i="4"/>
  <c r="K201" i="4"/>
  <c r="M201" i="4" s="1"/>
  <c r="J201" i="4"/>
  <c r="K185" i="4"/>
  <c r="M185" i="4" s="1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M84" i="4" s="1"/>
  <c r="J84" i="4"/>
  <c r="K68" i="4"/>
  <c r="M68" i="4" s="1"/>
  <c r="J68" i="4"/>
  <c r="K52" i="4"/>
  <c r="M52" i="4" s="1"/>
  <c r="J52" i="4"/>
  <c r="K36" i="4"/>
  <c r="M36" i="4" s="1"/>
  <c r="J36" i="4"/>
  <c r="K20" i="4"/>
  <c r="M20" i="4" s="1"/>
  <c r="J20" i="4"/>
  <c r="K4" i="4"/>
  <c r="M4" i="4" s="1"/>
  <c r="J4" i="4"/>
  <c r="K3" i="4"/>
  <c r="J3" i="4"/>
  <c r="K313" i="4"/>
  <c r="M313" i="4" s="1"/>
  <c r="J313" i="4"/>
  <c r="K277" i="4"/>
  <c r="M277" i="4" s="1"/>
  <c r="J277" i="4"/>
  <c r="K55" i="4"/>
  <c r="M55" i="4" s="1"/>
  <c r="J55" i="4"/>
  <c r="K280" i="4"/>
  <c r="M280" i="4" s="1"/>
  <c r="J280" i="4"/>
  <c r="K132" i="4"/>
  <c r="M132" i="4" s="1"/>
  <c r="J132" i="4"/>
  <c r="K311" i="4"/>
  <c r="M311" i="4" s="1"/>
  <c r="J311" i="4"/>
  <c r="K256" i="4"/>
  <c r="M256" i="4" s="1"/>
  <c r="J256" i="4"/>
  <c r="K63" i="4"/>
  <c r="M63" i="4" s="1"/>
  <c r="J63" i="4"/>
  <c r="K310" i="4"/>
  <c r="M310" i="4" s="1"/>
  <c r="J310" i="4"/>
  <c r="K252" i="4"/>
  <c r="M252" i="4" s="1"/>
  <c r="J252" i="4"/>
  <c r="K43" i="4"/>
  <c r="M43" i="4" s="1"/>
  <c r="J43" i="4"/>
  <c r="K219" i="4"/>
  <c r="M219" i="4" s="1"/>
  <c r="J219" i="4"/>
  <c r="K171" i="4"/>
  <c r="M171" i="4" s="1"/>
  <c r="J171" i="4"/>
  <c r="K123" i="4"/>
  <c r="M123" i="4" s="1"/>
  <c r="J123" i="4"/>
  <c r="K70" i="4"/>
  <c r="M70" i="4" s="1"/>
  <c r="J70" i="4"/>
  <c r="K22" i="4"/>
  <c r="M22" i="4" s="1"/>
  <c r="J22" i="4"/>
  <c r="K234" i="4"/>
  <c r="M234" i="4" s="1"/>
  <c r="J234" i="4"/>
  <c r="K186" i="4"/>
  <c r="M186" i="4" s="1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M129" i="4" s="1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M300" i="4" s="1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M19" i="4" s="1"/>
  <c r="J19" i="4"/>
  <c r="K315" i="4"/>
  <c r="M315" i="4" s="1"/>
  <c r="J315" i="4"/>
  <c r="K299" i="4"/>
  <c r="M299" i="4" s="1"/>
  <c r="J299" i="4"/>
  <c r="K283" i="4"/>
  <c r="M283" i="4" s="1"/>
  <c r="J283" i="4"/>
  <c r="K264" i="4"/>
  <c r="M264" i="4" s="1"/>
  <c r="J264" i="4"/>
  <c r="K208" i="4"/>
  <c r="M208" i="4" s="1"/>
  <c r="J208" i="4"/>
  <c r="K144" i="4"/>
  <c r="M144" i="4" s="1"/>
  <c r="J144" i="4"/>
  <c r="K79" i="4"/>
  <c r="M79" i="4" s="1"/>
  <c r="J79" i="4"/>
  <c r="K14" i="4"/>
  <c r="M14" i="4" s="1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M191" i="4" s="1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M58" i="4" s="1"/>
  <c r="J58" i="4"/>
  <c r="K42" i="4"/>
  <c r="M42" i="4" s="1"/>
  <c r="J42" i="4"/>
  <c r="K26" i="4"/>
  <c r="M26" i="4" s="1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M190" i="4" s="1"/>
  <c r="J190" i="4"/>
  <c r="K174" i="4"/>
  <c r="M174" i="4" s="1"/>
  <c r="J174" i="4"/>
  <c r="K158" i="4"/>
  <c r="M158" i="4" s="1"/>
  <c r="J158" i="4"/>
  <c r="K142" i="4"/>
  <c r="M142" i="4" s="1"/>
  <c r="J142" i="4"/>
  <c r="K126" i="4"/>
  <c r="M126" i="4" s="1"/>
  <c r="J126" i="4"/>
  <c r="K110" i="4"/>
  <c r="M110" i="4" s="1"/>
  <c r="J110" i="4"/>
  <c r="K77" i="4"/>
  <c r="M77" i="4" s="1"/>
  <c r="J77" i="4"/>
  <c r="K61" i="4"/>
  <c r="M61" i="4" s="1"/>
  <c r="J61" i="4"/>
  <c r="K45" i="4"/>
  <c r="M45" i="4" s="1"/>
  <c r="J45" i="4"/>
  <c r="K29" i="4"/>
  <c r="M29" i="4" s="1"/>
  <c r="J29" i="4"/>
  <c r="K12" i="4"/>
  <c r="M12" i="4" s="1"/>
  <c r="J12" i="4"/>
  <c r="K261" i="4"/>
  <c r="M261" i="4" s="1"/>
  <c r="J261" i="4"/>
  <c r="K245" i="4"/>
  <c r="M245" i="4" s="1"/>
  <c r="J245" i="4"/>
  <c r="K229" i="4"/>
  <c r="M229" i="4" s="1"/>
  <c r="J229" i="4"/>
  <c r="K213" i="4"/>
  <c r="M213" i="4" s="1"/>
  <c r="J213" i="4"/>
  <c r="K197" i="4"/>
  <c r="M197" i="4" s="1"/>
  <c r="J197" i="4"/>
  <c r="K181" i="4"/>
  <c r="M181" i="4" s="1"/>
  <c r="J181" i="4"/>
  <c r="K165" i="4"/>
  <c r="M165" i="4" s="1"/>
  <c r="J165" i="4"/>
  <c r="K149" i="4"/>
  <c r="M149" i="4" s="1"/>
  <c r="J149" i="4"/>
  <c r="K133" i="4"/>
  <c r="M133" i="4" s="1"/>
  <c r="J133" i="4"/>
  <c r="K117" i="4"/>
  <c r="M117" i="4" s="1"/>
  <c r="J117" i="4"/>
  <c r="K101" i="4"/>
  <c r="M101" i="4" s="1"/>
  <c r="J101" i="4"/>
  <c r="K80" i="4"/>
  <c r="M80" i="4" s="1"/>
  <c r="J80" i="4"/>
  <c r="K64" i="4"/>
  <c r="M64" i="4" s="1"/>
  <c r="J64" i="4"/>
  <c r="K48" i="4"/>
  <c r="M48" i="4" s="1"/>
  <c r="J48" i="4"/>
  <c r="K32" i="4"/>
  <c r="M32" i="4" s="1"/>
  <c r="J32" i="4"/>
  <c r="K16" i="4"/>
  <c r="M16" i="4" s="1"/>
  <c r="J16" i="4"/>
  <c r="K15" i="4"/>
  <c r="M15" i="4" s="1"/>
  <c r="J15" i="4"/>
  <c r="K92" i="4"/>
  <c r="M92" i="4" s="1"/>
  <c r="J92" i="4"/>
  <c r="M5" i="4" l="1"/>
  <c r="M17" i="4"/>
  <c r="M13" i="4"/>
  <c r="M3" i="4"/>
  <c r="N2" i="4"/>
  <c r="H226" i="5" l="1"/>
  <c r="J226" i="5" s="1"/>
  <c r="H2" i="5"/>
  <c r="H165" i="5"/>
  <c r="J165" i="5" s="1"/>
  <c r="H68" i="5"/>
  <c r="J68" i="5" s="1"/>
  <c r="H102" i="5"/>
  <c r="J102" i="5" s="1"/>
  <c r="H197" i="5"/>
  <c r="J197" i="5" s="1"/>
  <c r="H212" i="5"/>
  <c r="J212" i="5" s="1"/>
  <c r="H85" i="5"/>
  <c r="J85" i="5" s="1"/>
  <c r="H250" i="5"/>
  <c r="J250" i="5" s="1"/>
  <c r="H207" i="5"/>
  <c r="J207" i="5" s="1"/>
  <c r="H40" i="5"/>
  <c r="J40" i="5" s="1"/>
  <c r="H296" i="5"/>
  <c r="J296" i="5" s="1"/>
  <c r="H153" i="5"/>
  <c r="J153" i="5" s="1"/>
  <c r="H106" i="5"/>
  <c r="J106" i="5" s="1"/>
  <c r="H178" i="5"/>
  <c r="J178" i="5" s="1"/>
  <c r="H246" i="5"/>
  <c r="J246" i="5" s="1"/>
  <c r="H195" i="5"/>
  <c r="J195" i="5" s="1"/>
  <c r="H92" i="5"/>
  <c r="J92" i="5" s="1"/>
  <c r="H284" i="5"/>
  <c r="J284" i="5" s="1"/>
  <c r="H77" i="5"/>
  <c r="J77" i="5" s="1"/>
  <c r="H205" i="5"/>
  <c r="J205" i="5" s="1"/>
  <c r="H230" i="5"/>
  <c r="J230" i="5" s="1"/>
  <c r="H150" i="5"/>
  <c r="J150" i="5" s="1"/>
  <c r="H270" i="5"/>
  <c r="J270" i="5" s="1"/>
  <c r="H135" i="5"/>
  <c r="J135" i="5" s="1"/>
  <c r="H263" i="5"/>
  <c r="J263" i="5" s="1"/>
  <c r="H96" i="5"/>
  <c r="J96" i="5" s="1"/>
  <c r="H224" i="5"/>
  <c r="J224" i="5" s="1"/>
  <c r="H17" i="5"/>
  <c r="J17" i="5" s="1"/>
  <c r="H145" i="5"/>
  <c r="J145" i="5" s="1"/>
  <c r="H285" i="5"/>
  <c r="J285" i="5" s="1"/>
  <c r="H238" i="5"/>
  <c r="J238" i="5" s="1"/>
  <c r="H158" i="5"/>
  <c r="J158" i="5" s="1"/>
  <c r="H299" i="5"/>
  <c r="J299" i="5" s="1"/>
  <c r="H155" i="5"/>
  <c r="J155" i="5" s="1"/>
  <c r="H308" i="5"/>
  <c r="J308" i="5" s="1"/>
  <c r="H229" i="5"/>
  <c r="J229" i="5" s="1"/>
  <c r="H66" i="5"/>
  <c r="J66" i="5" s="1"/>
  <c r="H171" i="5"/>
  <c r="J171" i="5" s="1"/>
  <c r="H132" i="5"/>
  <c r="J132" i="5" s="1"/>
  <c r="H53" i="5"/>
  <c r="J53" i="5" s="1"/>
  <c r="H321" i="5"/>
  <c r="J321" i="5" s="1"/>
  <c r="H23" i="5"/>
  <c r="J23" i="5" s="1"/>
  <c r="H251" i="5"/>
  <c r="J251" i="5" s="1"/>
  <c r="H5" i="5"/>
  <c r="J5" i="5" s="1"/>
  <c r="H277" i="5"/>
  <c r="J277" i="5" s="1"/>
  <c r="H134" i="5"/>
  <c r="J134" i="5" s="1"/>
  <c r="H123" i="5"/>
  <c r="J123" i="5" s="1"/>
  <c r="H19" i="5"/>
  <c r="J19" i="5" s="1"/>
  <c r="H267" i="5"/>
  <c r="J267" i="5" s="1"/>
  <c r="H228" i="5"/>
  <c r="J228" i="5" s="1"/>
  <c r="H149" i="5"/>
  <c r="J149" i="5" s="1"/>
  <c r="H254" i="5"/>
  <c r="J254" i="5" s="1"/>
  <c r="H298" i="5"/>
  <c r="J298" i="5" s="1"/>
  <c r="H27" i="5"/>
  <c r="J27" i="5" s="1"/>
  <c r="H95" i="5"/>
  <c r="J95" i="5" s="1"/>
  <c r="H159" i="5"/>
  <c r="J159" i="5" s="1"/>
  <c r="H223" i="5"/>
  <c r="J223" i="5" s="1"/>
  <c r="H287" i="5"/>
  <c r="J287" i="5" s="1"/>
  <c r="H56" i="5"/>
  <c r="J56" i="5" s="1"/>
  <c r="H120" i="5"/>
  <c r="J120" i="5" s="1"/>
  <c r="H184" i="5"/>
  <c r="J184" i="5" s="1"/>
  <c r="H248" i="5"/>
  <c r="J248" i="5" s="1"/>
  <c r="H312" i="5"/>
  <c r="J312" i="5" s="1"/>
  <c r="H41" i="5"/>
  <c r="J41" i="5" s="1"/>
  <c r="H105" i="5"/>
  <c r="J105" i="5" s="1"/>
  <c r="H169" i="5"/>
  <c r="J169" i="5" s="1"/>
  <c r="H233" i="5"/>
  <c r="J233" i="5" s="1"/>
  <c r="H309" i="5"/>
  <c r="J309" i="5" s="1"/>
  <c r="H138" i="5"/>
  <c r="J138" i="5" s="1"/>
  <c r="H310" i="5"/>
  <c r="J310" i="5" s="1"/>
  <c r="H74" i="5"/>
  <c r="J74" i="5" s="1"/>
  <c r="H222" i="5"/>
  <c r="J222" i="5" s="1"/>
  <c r="H323" i="5"/>
  <c r="J323" i="5" s="1"/>
  <c r="H210" i="5"/>
  <c r="J210" i="5" s="1"/>
  <c r="H15" i="5"/>
  <c r="J15" i="5" s="1"/>
  <c r="H79" i="5"/>
  <c r="J79" i="5" s="1"/>
  <c r="H147" i="5"/>
  <c r="J147" i="5" s="1"/>
  <c r="H211" i="5"/>
  <c r="J211" i="5" s="1"/>
  <c r="H275" i="5"/>
  <c r="J275" i="5" s="1"/>
  <c r="H44" i="5"/>
  <c r="J44" i="5" s="1"/>
  <c r="H108" i="5"/>
  <c r="J108" i="5" s="1"/>
  <c r="H172" i="5"/>
  <c r="J172" i="5" s="1"/>
  <c r="H236" i="5"/>
  <c r="J236" i="5" s="1"/>
  <c r="H300" i="5"/>
  <c r="J300" i="5" s="1"/>
  <c r="H29" i="5"/>
  <c r="J29" i="5" s="1"/>
  <c r="H93" i="5"/>
  <c r="J93" i="5" s="1"/>
  <c r="H157" i="5"/>
  <c r="J157" i="5" s="1"/>
  <c r="H221" i="5"/>
  <c r="J221" i="5" s="1"/>
  <c r="H297" i="5"/>
  <c r="J297" i="5" s="1"/>
  <c r="H114" i="5"/>
  <c r="J114" i="5" s="1"/>
  <c r="H278" i="5"/>
  <c r="J278" i="5" s="1"/>
  <c r="H50" i="5"/>
  <c r="J50" i="5" s="1"/>
  <c r="H186" i="5"/>
  <c r="J186" i="5" s="1"/>
  <c r="H311" i="5"/>
  <c r="J311" i="5" s="1"/>
  <c r="H314" i="5"/>
  <c r="J314" i="5" s="1"/>
  <c r="H83" i="5"/>
  <c r="J83" i="5" s="1"/>
  <c r="H151" i="5"/>
  <c r="J151" i="5" s="1"/>
  <c r="H215" i="5"/>
  <c r="J215" i="5" s="1"/>
  <c r="H279" i="5"/>
  <c r="J279" i="5" s="1"/>
  <c r="H48" i="5"/>
  <c r="J48" i="5" s="1"/>
  <c r="H112" i="5"/>
  <c r="J112" i="5" s="1"/>
  <c r="H176" i="5"/>
  <c r="J176" i="5" s="1"/>
  <c r="H240" i="5"/>
  <c r="J240" i="5" s="1"/>
  <c r="H304" i="5"/>
  <c r="J304" i="5" s="1"/>
  <c r="H33" i="5"/>
  <c r="J33" i="5" s="1"/>
  <c r="H97" i="5"/>
  <c r="J97" i="5" s="1"/>
  <c r="H161" i="5"/>
  <c r="J161" i="5" s="1"/>
  <c r="H225" i="5"/>
  <c r="J225" i="5" s="1"/>
  <c r="H301" i="5"/>
  <c r="J301" i="5" s="1"/>
  <c r="H122" i="5"/>
  <c r="J122" i="5" s="1"/>
  <c r="H294" i="5"/>
  <c r="J294" i="5" s="1"/>
  <c r="H58" i="5"/>
  <c r="J58" i="5" s="1"/>
  <c r="H198" i="5"/>
  <c r="J198" i="5" s="1"/>
  <c r="H315" i="5"/>
  <c r="J315" i="5" s="1"/>
  <c r="H326" i="5"/>
  <c r="J326" i="5" s="1"/>
  <c r="H244" i="5"/>
  <c r="J244" i="5" s="1"/>
  <c r="H107" i="5"/>
  <c r="J107" i="5" s="1"/>
  <c r="H245" i="5"/>
  <c r="J245" i="5" s="1"/>
  <c r="H276" i="5"/>
  <c r="J276" i="5" s="1"/>
  <c r="H7" i="5"/>
  <c r="J7" i="5" s="1"/>
  <c r="H164" i="5"/>
  <c r="J164" i="5" s="1"/>
  <c r="H11" i="5"/>
  <c r="J11" i="5" s="1"/>
  <c r="H143" i="5"/>
  <c r="J143" i="5" s="1"/>
  <c r="H104" i="5"/>
  <c r="J104" i="5" s="1"/>
  <c r="H232" i="5"/>
  <c r="J232" i="5" s="1"/>
  <c r="H89" i="5"/>
  <c r="J89" i="5" s="1"/>
  <c r="H293" i="5"/>
  <c r="J293" i="5" s="1"/>
  <c r="H46" i="5"/>
  <c r="J46" i="5" s="1"/>
  <c r="H306" i="5"/>
  <c r="J306" i="5" s="1"/>
  <c r="H131" i="5"/>
  <c r="J131" i="5" s="1"/>
  <c r="H259" i="5"/>
  <c r="J259" i="5" s="1"/>
  <c r="H156" i="5"/>
  <c r="J156" i="5" s="1"/>
  <c r="H13" i="5"/>
  <c r="J13" i="5" s="1"/>
  <c r="H141" i="5"/>
  <c r="J141" i="5" s="1"/>
  <c r="H86" i="5"/>
  <c r="J86" i="5" s="1"/>
  <c r="H34" i="5"/>
  <c r="J34" i="5" s="1"/>
  <c r="H87" i="5"/>
  <c r="J87" i="5" s="1"/>
  <c r="H67" i="5"/>
  <c r="J67" i="5" s="1"/>
  <c r="H199" i="5"/>
  <c r="J199" i="5" s="1"/>
  <c r="H32" i="5"/>
  <c r="J32" i="5" s="1"/>
  <c r="H160" i="5"/>
  <c r="J160" i="5" s="1"/>
  <c r="H288" i="5"/>
  <c r="J288" i="5" s="1"/>
  <c r="H81" i="5"/>
  <c r="J81" i="5" s="1"/>
  <c r="H209" i="5"/>
  <c r="J209" i="5" s="1"/>
  <c r="H94" i="5"/>
  <c r="J94" i="5" s="1"/>
  <c r="H38" i="5"/>
  <c r="J38" i="5" s="1"/>
  <c r="H282" i="5"/>
  <c r="J282" i="5" s="1"/>
  <c r="H52" i="5"/>
  <c r="J52" i="5" s="1"/>
  <c r="H37" i="5"/>
  <c r="J37" i="5" s="1"/>
  <c r="H305" i="5"/>
  <c r="J305" i="5" s="1"/>
  <c r="H3" i="5"/>
  <c r="J3" i="5" s="1"/>
  <c r="H235" i="5"/>
  <c r="J235" i="5" s="1"/>
  <c r="H196" i="5"/>
  <c r="J196" i="5" s="1"/>
  <c r="H117" i="5"/>
  <c r="J117" i="5" s="1"/>
  <c r="H162" i="5"/>
  <c r="J162" i="5" s="1"/>
  <c r="H219" i="5"/>
  <c r="J219" i="5" s="1"/>
  <c r="H84" i="5"/>
  <c r="J84" i="5" s="1"/>
  <c r="H69" i="5"/>
  <c r="J69" i="5" s="1"/>
  <c r="H70" i="5"/>
  <c r="J70" i="5" s="1"/>
  <c r="H91" i="5"/>
  <c r="J91" i="5" s="1"/>
  <c r="H187" i="5"/>
  <c r="J187" i="5" s="1"/>
  <c r="H71" i="5"/>
  <c r="J71" i="5" s="1"/>
  <c r="H36" i="5"/>
  <c r="J36" i="5" s="1"/>
  <c r="H292" i="5"/>
  <c r="J292" i="5" s="1"/>
  <c r="H213" i="5"/>
  <c r="J213" i="5" s="1"/>
  <c r="H42" i="5"/>
  <c r="J42" i="5" s="1"/>
  <c r="H319" i="5"/>
  <c r="J319" i="5" s="1"/>
  <c r="H43" i="5"/>
  <c r="J43" i="5" s="1"/>
  <c r="H111" i="5"/>
  <c r="J111" i="5" s="1"/>
  <c r="H175" i="5"/>
  <c r="J175" i="5" s="1"/>
  <c r="H239" i="5"/>
  <c r="J239" i="5" s="1"/>
  <c r="H8" i="5"/>
  <c r="J8" i="5" s="1"/>
  <c r="H72" i="5"/>
  <c r="J72" i="5" s="1"/>
  <c r="H136" i="5"/>
  <c r="J136" i="5" s="1"/>
  <c r="H200" i="5"/>
  <c r="J200" i="5" s="1"/>
  <c r="H264" i="5"/>
  <c r="J264" i="5" s="1"/>
  <c r="H249" i="5"/>
  <c r="J249" i="5" s="1"/>
  <c r="H57" i="5"/>
  <c r="J57" i="5" s="1"/>
  <c r="H121" i="5"/>
  <c r="J121" i="5" s="1"/>
  <c r="H185" i="5"/>
  <c r="J185" i="5" s="1"/>
  <c r="H253" i="5"/>
  <c r="J253" i="5" s="1"/>
  <c r="H325" i="5"/>
  <c r="J325" i="5" s="1"/>
  <c r="H170" i="5"/>
  <c r="J170" i="5" s="1"/>
  <c r="H14" i="5"/>
  <c r="J14" i="5" s="1"/>
  <c r="H110" i="5"/>
  <c r="J110" i="5" s="1"/>
  <c r="H262" i="5"/>
  <c r="J262" i="5" s="1"/>
  <c r="H202" i="5"/>
  <c r="J202" i="5" s="1"/>
  <c r="H303" i="5"/>
  <c r="J303" i="5" s="1"/>
  <c r="H31" i="5"/>
  <c r="J31" i="5" s="1"/>
  <c r="H99" i="5"/>
  <c r="J99" i="5" s="1"/>
  <c r="H163" i="5"/>
  <c r="J163" i="5" s="1"/>
  <c r="H227" i="5"/>
  <c r="J227" i="5" s="1"/>
  <c r="H291" i="5"/>
  <c r="J291" i="5" s="1"/>
  <c r="H60" i="5"/>
  <c r="J60" i="5" s="1"/>
  <c r="H124" i="5"/>
  <c r="J124" i="5" s="1"/>
  <c r="H188" i="5"/>
  <c r="J188" i="5" s="1"/>
  <c r="H252" i="5"/>
  <c r="J252" i="5" s="1"/>
  <c r="H316" i="5"/>
  <c r="J316" i="5" s="1"/>
  <c r="H45" i="5"/>
  <c r="J45" i="5" s="1"/>
  <c r="H109" i="5"/>
  <c r="J109" i="5" s="1"/>
  <c r="H173" i="5"/>
  <c r="J173" i="5" s="1"/>
  <c r="H237" i="5"/>
  <c r="J237" i="5" s="1"/>
  <c r="H313" i="5"/>
  <c r="J313" i="5" s="1"/>
  <c r="H146" i="5"/>
  <c r="J146" i="5" s="1"/>
  <c r="H322" i="5"/>
  <c r="J322" i="5" s="1"/>
  <c r="H82" i="5"/>
  <c r="J82" i="5" s="1"/>
  <c r="H234" i="5"/>
  <c r="J234" i="5" s="1"/>
  <c r="J2" i="5"/>
  <c r="H35" i="5"/>
  <c r="J35" i="5" s="1"/>
  <c r="H103" i="5"/>
  <c r="J103" i="5" s="1"/>
  <c r="H167" i="5"/>
  <c r="J167" i="5" s="1"/>
  <c r="H231" i="5"/>
  <c r="J231" i="5" s="1"/>
  <c r="H295" i="5"/>
  <c r="J295" i="5" s="1"/>
  <c r="H64" i="5"/>
  <c r="J64" i="5" s="1"/>
  <c r="H128" i="5"/>
  <c r="J128" i="5" s="1"/>
  <c r="H192" i="5"/>
  <c r="J192" i="5" s="1"/>
  <c r="H256" i="5"/>
  <c r="J256" i="5" s="1"/>
  <c r="H320" i="5"/>
  <c r="J320" i="5" s="1"/>
  <c r="H49" i="5"/>
  <c r="J49" i="5" s="1"/>
  <c r="H113" i="5"/>
  <c r="J113" i="5" s="1"/>
  <c r="H177" i="5"/>
  <c r="J177" i="5" s="1"/>
  <c r="H241" i="5"/>
  <c r="J241" i="5" s="1"/>
  <c r="H317" i="5"/>
  <c r="J317" i="5" s="1"/>
  <c r="H154" i="5"/>
  <c r="J154" i="5" s="1"/>
  <c r="H6" i="5"/>
  <c r="J6" i="5" s="1"/>
  <c r="H90" i="5"/>
  <c r="J90" i="5" s="1"/>
  <c r="H242" i="5"/>
  <c r="J242" i="5" s="1"/>
  <c r="H174" i="5"/>
  <c r="J174" i="5" s="1"/>
  <c r="H302" i="5"/>
  <c r="J302" i="5" s="1"/>
  <c r="H324" i="5"/>
  <c r="J324" i="5" s="1"/>
  <c r="H55" i="5"/>
  <c r="J55" i="5" s="1"/>
  <c r="H26" i="5"/>
  <c r="J26" i="5" s="1"/>
  <c r="H203" i="5"/>
  <c r="J203" i="5" s="1"/>
  <c r="H98" i="5"/>
  <c r="J98" i="5" s="1"/>
  <c r="H75" i="5"/>
  <c r="J75" i="5" s="1"/>
  <c r="H271" i="5"/>
  <c r="J271" i="5" s="1"/>
  <c r="H168" i="5"/>
  <c r="J168" i="5" s="1"/>
  <c r="H25" i="5"/>
  <c r="J25" i="5" s="1"/>
  <c r="H217" i="5"/>
  <c r="J217" i="5" s="1"/>
  <c r="H266" i="5"/>
  <c r="J266" i="5" s="1"/>
  <c r="H307" i="5"/>
  <c r="J307" i="5" s="1"/>
  <c r="H63" i="5"/>
  <c r="J63" i="5" s="1"/>
  <c r="H28" i="5"/>
  <c r="J28" i="5" s="1"/>
  <c r="H220" i="5"/>
  <c r="J220" i="5" s="1"/>
  <c r="H281" i="5"/>
  <c r="J281" i="5" s="1"/>
  <c r="H180" i="5"/>
  <c r="J180" i="5" s="1"/>
  <c r="H101" i="5"/>
  <c r="J101" i="5" s="1"/>
  <c r="H130" i="5"/>
  <c r="J130" i="5" s="1"/>
  <c r="H39" i="5"/>
  <c r="J39" i="5" s="1"/>
  <c r="H4" i="5"/>
  <c r="J4" i="5" s="1"/>
  <c r="H260" i="5"/>
  <c r="J260" i="5" s="1"/>
  <c r="H181" i="5"/>
  <c r="J181" i="5" s="1"/>
  <c r="H10" i="5"/>
  <c r="J10" i="5" s="1"/>
  <c r="H116" i="5"/>
  <c r="J116" i="5" s="1"/>
  <c r="H148" i="5"/>
  <c r="J148" i="5" s="1"/>
  <c r="H133" i="5"/>
  <c r="J133" i="5" s="1"/>
  <c r="H206" i="5"/>
  <c r="J206" i="5" s="1"/>
  <c r="H283" i="5"/>
  <c r="J283" i="5" s="1"/>
  <c r="H20" i="5"/>
  <c r="J20" i="5" s="1"/>
  <c r="H139" i="5"/>
  <c r="J139" i="5" s="1"/>
  <c r="H100" i="5"/>
  <c r="J100" i="5" s="1"/>
  <c r="H21" i="5"/>
  <c r="J21" i="5" s="1"/>
  <c r="H289" i="5"/>
  <c r="J289" i="5" s="1"/>
  <c r="H166" i="5"/>
  <c r="J166" i="5" s="1"/>
  <c r="H290" i="5"/>
  <c r="J290" i="5" s="1"/>
  <c r="H59" i="5"/>
  <c r="J59" i="5" s="1"/>
  <c r="H127" i="5"/>
  <c r="J127" i="5" s="1"/>
  <c r="H191" i="5"/>
  <c r="J191" i="5" s="1"/>
  <c r="H255" i="5"/>
  <c r="J255" i="5" s="1"/>
  <c r="H24" i="5"/>
  <c r="J24" i="5" s="1"/>
  <c r="H88" i="5"/>
  <c r="J88" i="5" s="1"/>
  <c r="H152" i="5"/>
  <c r="J152" i="5" s="1"/>
  <c r="H216" i="5"/>
  <c r="J216" i="5" s="1"/>
  <c r="H280" i="5"/>
  <c r="J280" i="5" s="1"/>
  <c r="H9" i="5"/>
  <c r="J9" i="5" s="1"/>
  <c r="H73" i="5"/>
  <c r="J73" i="5" s="1"/>
  <c r="H137" i="5"/>
  <c r="J137" i="5" s="1"/>
  <c r="H201" i="5"/>
  <c r="J201" i="5" s="1"/>
  <c r="H273" i="5"/>
  <c r="J273" i="5" s="1"/>
  <c r="H78" i="5"/>
  <c r="J78" i="5" s="1"/>
  <c r="H218" i="5"/>
  <c r="J218" i="5" s="1"/>
  <c r="H30" i="5"/>
  <c r="J30" i="5" s="1"/>
  <c r="H142" i="5"/>
  <c r="J142" i="5" s="1"/>
  <c r="H318" i="5"/>
  <c r="J318" i="5" s="1"/>
  <c r="H258" i="5"/>
  <c r="J258" i="5" s="1"/>
  <c r="H190" i="5"/>
  <c r="J190" i="5" s="1"/>
  <c r="H47" i="5"/>
  <c r="J47" i="5" s="1"/>
  <c r="H115" i="5"/>
  <c r="J115" i="5" s="1"/>
  <c r="H179" i="5"/>
  <c r="J179" i="5" s="1"/>
  <c r="H243" i="5"/>
  <c r="J243" i="5" s="1"/>
  <c r="H12" i="5"/>
  <c r="J12" i="5" s="1"/>
  <c r="H76" i="5"/>
  <c r="J76" i="5" s="1"/>
  <c r="H140" i="5"/>
  <c r="J140" i="5" s="1"/>
  <c r="H204" i="5"/>
  <c r="J204" i="5" s="1"/>
  <c r="H268" i="5"/>
  <c r="J268" i="5" s="1"/>
  <c r="H261" i="5"/>
  <c r="J261" i="5" s="1"/>
  <c r="H61" i="5"/>
  <c r="J61" i="5" s="1"/>
  <c r="H125" i="5"/>
  <c r="J125" i="5" s="1"/>
  <c r="H189" i="5"/>
  <c r="J189" i="5" s="1"/>
  <c r="H257" i="5"/>
  <c r="J257" i="5" s="1"/>
  <c r="H54" i="5"/>
  <c r="J54" i="5" s="1"/>
  <c r="H182" i="5"/>
  <c r="J182" i="5" s="1"/>
  <c r="H18" i="5"/>
  <c r="J18" i="5" s="1"/>
  <c r="H118" i="5"/>
  <c r="J118" i="5" s="1"/>
  <c r="H274" i="5"/>
  <c r="J274" i="5" s="1"/>
  <c r="H214" i="5"/>
  <c r="J214" i="5" s="1"/>
  <c r="H51" i="5"/>
  <c r="J51" i="5" s="1"/>
  <c r="H119" i="5"/>
  <c r="J119" i="5" s="1"/>
  <c r="H183" i="5"/>
  <c r="J183" i="5" s="1"/>
  <c r="H247" i="5"/>
  <c r="J247" i="5" s="1"/>
  <c r="H16" i="5"/>
  <c r="J16" i="5" s="1"/>
  <c r="H80" i="5"/>
  <c r="J80" i="5" s="1"/>
  <c r="H144" i="5"/>
  <c r="J144" i="5" s="1"/>
  <c r="H208" i="5"/>
  <c r="J208" i="5" s="1"/>
  <c r="H272" i="5"/>
  <c r="J272" i="5" s="1"/>
  <c r="H269" i="5"/>
  <c r="J269" i="5" s="1"/>
  <c r="H65" i="5"/>
  <c r="J65" i="5" s="1"/>
  <c r="H129" i="5"/>
  <c r="J129" i="5" s="1"/>
  <c r="H193" i="5"/>
  <c r="J193" i="5" s="1"/>
  <c r="H265" i="5"/>
  <c r="J265" i="5" s="1"/>
  <c r="H62" i="5"/>
  <c r="J62" i="5" s="1"/>
  <c r="H194" i="5"/>
  <c r="J194" i="5" s="1"/>
  <c r="H22" i="5"/>
  <c r="J22" i="5" s="1"/>
  <c r="H126" i="5"/>
  <c r="J126" i="5" s="1"/>
  <c r="H286" i="5"/>
  <c r="J286" i="5" s="1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F4" i="9" l="1"/>
  <c r="E4" i="9"/>
  <c r="E11" i="8"/>
  <c r="D12" i="8"/>
  <c r="D10" i="8"/>
  <c r="F5" i="9"/>
  <c r="D9" i="8"/>
  <c r="F3" i="9"/>
  <c r="E3" i="9"/>
  <c r="E10" i="8"/>
  <c r="D11" i="8"/>
  <c r="E9" i="8"/>
  <c r="E5" i="9"/>
  <c r="F6" i="9"/>
  <c r="E6" i="9"/>
  <c r="D8" i="8"/>
  <c r="E12" i="8"/>
  <c r="J3" i="14"/>
  <c r="J7" i="14"/>
  <c r="J11" i="14"/>
  <c r="J2" i="14"/>
  <c r="L2" i="14" s="1"/>
  <c r="I5" i="14"/>
  <c r="I9" i="14"/>
  <c r="I14" i="14"/>
  <c r="E4" i="14"/>
  <c r="E8" i="14"/>
  <c r="E12" i="14"/>
  <c r="D4" i="14"/>
  <c r="D8" i="14"/>
  <c r="D12" i="14"/>
  <c r="D15" i="14"/>
  <c r="J6" i="14"/>
  <c r="I4" i="14"/>
  <c r="E3" i="14"/>
  <c r="D3" i="14"/>
  <c r="J4" i="14"/>
  <c r="J8" i="14"/>
  <c r="J12" i="14"/>
  <c r="E2" i="14"/>
  <c r="G2" i="14" s="1"/>
  <c r="I6" i="14"/>
  <c r="I10" i="14"/>
  <c r="I15" i="14"/>
  <c r="E5" i="14"/>
  <c r="E9" i="14"/>
  <c r="E14" i="14"/>
  <c r="D5" i="14"/>
  <c r="D9" i="14"/>
  <c r="D14" i="14"/>
  <c r="D10" i="14"/>
  <c r="D2" i="14"/>
  <c r="F2" i="14" s="1"/>
  <c r="J15" i="14"/>
  <c r="I12" i="14"/>
  <c r="E11" i="14"/>
  <c r="D11" i="14"/>
  <c r="J5" i="14"/>
  <c r="J9" i="14"/>
  <c r="J14" i="14"/>
  <c r="I3" i="14"/>
  <c r="I7" i="14"/>
  <c r="I11" i="14"/>
  <c r="I2" i="14"/>
  <c r="K2" i="14" s="1"/>
  <c r="E6" i="14"/>
  <c r="E10" i="14"/>
  <c r="E15" i="14"/>
  <c r="D6" i="14"/>
  <c r="J10" i="14"/>
  <c r="I8" i="14"/>
  <c r="E7" i="14"/>
  <c r="D7" i="14"/>
  <c r="L3" i="14" l="1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F3" i="14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16" i="1" l="1"/>
  <c r="E12" i="1"/>
  <c r="E17" i="1"/>
  <c r="E18" i="1"/>
  <c r="E13" i="1"/>
  <c r="E15" i="1"/>
  <c r="E14" i="1"/>
  <c r="E4" i="1"/>
  <c r="E9" i="1"/>
  <c r="E7" i="1"/>
  <c r="E10" i="1"/>
  <c r="E6" i="1"/>
  <c r="E5" i="1"/>
  <c r="E8" i="1"/>
  <c r="D16" i="1"/>
  <c r="D14" i="1"/>
  <c r="D17" i="1"/>
  <c r="D12" i="1"/>
  <c r="D18" i="1"/>
  <c r="D13" i="1"/>
  <c r="D15" i="1"/>
  <c r="D9" i="1"/>
  <c r="D10" i="1"/>
  <c r="D4" i="1"/>
  <c r="D7" i="1"/>
  <c r="D8" i="1"/>
  <c r="D5" i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Nikos Rittas</author>
  </authors>
  <commentList>
    <comment ref="I1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
εισάγετε την τιμή 2 αν υπάρχουν μετρήσεις για δεύτερο πακέτο.</t>
        </r>
      </text>
    </comment>
  </commentList>
</comments>
</file>

<file path=xl/sharedStrings.xml><?xml version="1.0" encoding="utf-8"?>
<sst xmlns="http://schemas.openxmlformats.org/spreadsheetml/2006/main" count="3704" uniqueCount="938">
  <si>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</si>
  <si>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</si>
  <si>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</si>
  <si>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</si>
  <si>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</si>
  <si>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</si>
  <si>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</si>
  <si>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</si>
  <si>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</si>
  <si>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</si>
  <si>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</si>
  <si>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</si>
  <si>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</si>
  <si>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</si>
  <si>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</si>
  <si>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</si>
  <si>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</si>
  <si>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</si>
  <si>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</si>
  <si>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</si>
  <si>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</si>
  <si>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</si>
  <si>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</si>
  <si>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</si>
  <si>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</si>
  <si>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</si>
  <si>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</si>
  <si>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</si>
  <si>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</si>
  <si>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</si>
  <si>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</si>
  <si>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</si>
  <si>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</si>
  <si>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</si>
  <si>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</si>
  <si>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</si>
  <si>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</si>
  <si>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</si>
  <si>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</si>
  <si>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</si>
  <si>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</si>
  <si>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</si>
  <si>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</si>
  <si>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</si>
  <si>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</si>
  <si>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</si>
  <si>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</si>
  <si>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</si>
  <si>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</si>
  <si>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</si>
  <si>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</si>
  <si>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</si>
  <si>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</si>
  <si>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</si>
  <si>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</si>
  <si>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</si>
  <si>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</si>
  <si>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</si>
  <si>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</si>
  <si>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</si>
  <si>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</si>
  <si>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</si>
  <si>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</si>
  <si>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</si>
  <si>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</si>
  <si>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</si>
  <si>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</si>
  <si>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</si>
  <si>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</si>
  <si>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</si>
  <si>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</si>
  <si>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</si>
  <si>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</si>
  <si>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</si>
  <si>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</si>
  <si>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</si>
  <si>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</si>
  <si>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</si>
  <si>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</si>
  <si>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</si>
  <si>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</si>
  <si>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</si>
  <si>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</si>
  <si>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</si>
  <si>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</si>
  <si>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</si>
  <si>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</si>
  <si>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</si>
  <si>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</si>
  <si>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</si>
  <si>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</si>
  <si>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</si>
  <si>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</si>
  <si>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</si>
  <si>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</si>
  <si>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</si>
  <si>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</si>
  <si>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</si>
  <si>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</si>
  <si>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</si>
  <si>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</si>
  <si>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</si>
  <si>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</si>
  <si>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</si>
  <si>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</si>
  <si>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</si>
  <si>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</si>
  <si>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</si>
  <si>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</si>
  <si>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</si>
  <si>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</si>
  <si>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</si>
  <si>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</si>
  <si>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</si>
  <si>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</si>
  <si>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</si>
  <si>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</si>
  <si>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</si>
  <si>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</si>
  <si>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</si>
  <si>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</si>
  <si>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</si>
  <si>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</si>
  <si>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</si>
  <si>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</si>
  <si>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</si>
  <si>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</si>
  <si>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</si>
  <si>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</si>
  <si>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</si>
  <si>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</si>
  <si>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</si>
  <si>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</si>
  <si>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</si>
  <si>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</si>
  <si>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</si>
  <si>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</si>
  <si>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</si>
  <si>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</si>
  <si>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</si>
  <si>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</si>
  <si>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</si>
  <si>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</si>
  <si>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</si>
  <si>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</si>
  <si>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</si>
  <si>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</si>
  <si>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</si>
  <si>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</si>
  <si>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</si>
  <si>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</si>
  <si>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</si>
  <si>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</si>
  <si>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</si>
  <si>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</si>
  <si>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</si>
  <si>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</si>
  <si>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</si>
  <si>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</si>
  <si>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</si>
  <si>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</si>
  <si>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</si>
  <si>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</si>
  <si>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</si>
  <si>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</si>
  <si>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</si>
  <si>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</si>
  <si>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</si>
  <si>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</si>
  <si>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</si>
  <si>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</si>
  <si>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</si>
  <si>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</si>
  <si>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</si>
  <si>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</si>
  <si>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</si>
  <si>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</si>
  <si>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</si>
  <si>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</si>
  <si>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</si>
  <si>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</si>
  <si>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</si>
  <si>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</si>
  <si>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</si>
  <si>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</si>
  <si>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</si>
  <si>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</si>
  <si>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</si>
  <si>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</si>
  <si>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</si>
  <si>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</si>
  <si>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</si>
  <si>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</si>
  <si>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</si>
  <si>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</si>
  <si>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</si>
  <si>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</si>
  <si>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</si>
  <si>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</si>
  <si>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</si>
  <si>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</si>
  <si>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</si>
  <si>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</si>
  <si>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</si>
  <si>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</si>
  <si>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</si>
  <si>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</si>
  <si>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</si>
  <si>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</si>
  <si>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</si>
  <si>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</si>
  <si>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</si>
  <si>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</si>
  <si>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</si>
  <si>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</si>
  <si>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</si>
  <si>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</si>
  <si>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</si>
  <si>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</si>
  <si>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</si>
  <si>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</si>
  <si>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</si>
  <si>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</si>
  <si>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</si>
  <si>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</si>
  <si>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</si>
  <si>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</si>
  <si>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</si>
  <si>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</si>
  <si>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</si>
  <si>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</si>
  <si>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</si>
  <si>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</si>
  <si>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</si>
  <si>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</si>
  <si>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</si>
  <si>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</si>
  <si>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</si>
  <si>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</si>
  <si>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</si>
  <si>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</si>
  <si>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</si>
  <si>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</si>
  <si>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</si>
  <si>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</si>
  <si>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</si>
  <si>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</si>
  <si>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</si>
  <si>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</si>
  <si>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</si>
  <si>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</si>
  <si>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</si>
  <si>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</si>
  <si>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</si>
  <si>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</si>
  <si>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</si>
  <si>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</si>
  <si>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</si>
  <si>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</si>
  <si>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</si>
  <si>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</si>
  <si>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</si>
  <si>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</si>
  <si>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</si>
  <si>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</si>
  <si>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</si>
  <si>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</si>
  <si>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</si>
  <si>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</si>
  <si>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</si>
  <si>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</si>
  <si>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</si>
  <si>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</si>
  <si>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</si>
  <si>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</si>
  <si>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</si>
  <si>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</si>
  <si>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</si>
  <si>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</si>
  <si>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</si>
  <si>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</si>
  <si>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</si>
  <si>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</si>
  <si>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</si>
  <si>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</si>
  <si>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</si>
  <si>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</si>
  <si>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</si>
  <si>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</si>
  <si>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</si>
  <si>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</si>
  <si>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</si>
  <si>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</si>
  <si>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</si>
  <si>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</si>
  <si>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</si>
  <si>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</si>
  <si>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</si>
  <si>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</si>
  <si>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</si>
  <si>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</si>
  <si>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</si>
  <si>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</si>
  <si>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</si>
  <si>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</si>
  <si>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</si>
  <si>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</si>
  <si>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</si>
  <si>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</si>
  <si>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</si>
  <si>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</si>
  <si>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</si>
  <si>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</si>
  <si>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</si>
  <si>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</si>
  <si>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</si>
  <si>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</si>
  <si>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</si>
  <si>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</si>
  <si>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</si>
  <si>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</si>
  <si>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</si>
  <si>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</si>
  <si>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</si>
  <si>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</si>
  <si>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</si>
  <si>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</si>
  <si>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</si>
  <si>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</si>
  <si>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</si>
  <si>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</si>
  <si>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</si>
  <si>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</si>
  <si>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</si>
  <si>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</si>
  <si>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</si>
  <si>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</si>
  <si>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</si>
  <si>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</si>
  <si>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</si>
  <si>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</si>
  <si>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</si>
  <si>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</si>
  <si>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</si>
  <si>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</si>
  <si>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</si>
  <si>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</si>
  <si>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</si>
  <si>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</si>
  <si>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</si>
  <si>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</si>
  <si>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</si>
  <si>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</si>
  <si>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</si>
  <si>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</si>
  <si>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</si>
  <si>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</si>
  <si>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</si>
  <si>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</si>
  <si>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</si>
  <si>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</si>
  <si>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</si>
  <si>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</si>
  <si>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</si>
  <si>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</si>
  <si>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</si>
  <si>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</si>
  <si>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</si>
  <si>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</si>
  <si>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</si>
  <si>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</si>
  <si>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</si>
  <si>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</si>
  <si>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</si>
  <si>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</si>
  <si>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</si>
  <si>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</si>
  <si>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</si>
  <si>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</si>
  <si>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</si>
  <si>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</si>
  <si>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</si>
  <si>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</si>
  <si>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</si>
  <si>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</si>
  <si>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</si>
  <si>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</si>
  <si>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</si>
  <si>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</si>
  <si>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</si>
  <si>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</si>
  <si>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</si>
  <si>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</si>
  <si>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</si>
  <si>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</si>
  <si>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</si>
  <si>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</si>
  <si>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</si>
  <si>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</si>
  <si>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</si>
  <si>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</si>
  <si>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</si>
  <si>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</si>
  <si>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</si>
  <si>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</si>
  <si>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</si>
  <si>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</si>
  <si>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</si>
  <si>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</si>
  <si>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</si>
  <si>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</si>
  <si>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</si>
  <si>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</si>
  <si>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</si>
  <si>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</si>
  <si>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</si>
  <si>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</si>
  <si>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</si>
  <si>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</si>
  <si>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</si>
  <si>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</si>
  <si>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</si>
  <si>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</si>
  <si>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</si>
  <si>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</si>
  <si>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</si>
  <si>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</si>
  <si>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</si>
  <si>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</si>
  <si>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</si>
  <si>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</si>
  <si>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</si>
  <si>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</si>
  <si>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</si>
  <si>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</si>
  <si>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</si>
  <si>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</si>
  <si>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</si>
  <si>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</si>
  <si>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</si>
  <si>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</si>
  <si>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</si>
  <si>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</si>
  <si>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</si>
  <si>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</si>
  <si>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</si>
  <si>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</si>
  <si>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</si>
  <si>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</si>
  <si>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</si>
  <si>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</si>
  <si>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</si>
  <si>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</si>
  <si>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Υπηρεσίας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</si>
  <si>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</si>
  <si>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</si>
  <si>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</si>
  <si>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</si>
  <si>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</si>
  <si>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</si>
  <si>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</si>
  <si>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</si>
  <si>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</si>
  <si>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</si>
  <si>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</si>
  <si>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ΕΛΕΓΧΟΣ ΟΡΘΟΤΗΤΑΣ: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</si>
  <si>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</si>
  <si>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</si>
  <si>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</si>
  <si>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</si>
  <si>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</si>
  <si>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</si>
  <si>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</si>
  <si>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</si>
  <si>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</si>
  <si>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</si>
  <si>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</si>
  <si>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</si>
  <si>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</si>
  <si>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</si>
  <si>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</si>
  <si>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</si>
  <si>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</si>
  <si>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</si>
  <si>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</si>
  <si>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</si>
  <si>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</si>
  <si>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</si>
  <si>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</si>
  <si>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</si>
  <si>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</si>
  <si>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</si>
  <si>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</si>
  <si>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</si>
  <si>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</si>
  <si>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</si>
  <si>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</si>
  <si>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</si>
  <si>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</si>
  <si>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</si>
  <si>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</si>
  <si>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</si>
  <si>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Αριθμός Πακέτου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</si>
  <si>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</si>
  <si>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</si>
  <si>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</si>
  <si>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</si>
  <si>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</si>
  <si>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</si>
  <si>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</si>
  <si>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</si>
  <si>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</si>
  <si>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</si>
  <si>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</si>
  <si>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</si>
  <si>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</si>
  <si>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</si>
  <si>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</si>
  <si>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</si>
  <si>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</si>
  <si>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</si>
  <si>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</si>
  <si>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</si>
  <si>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</si>
  <si>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</si>
  <si>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</si>
  <si>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</si>
  <si>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</si>
  <si>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</si>
  <si>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</si>
  <si>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</si>
  <si>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</si>
  <si>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</si>
  <si>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</si>
  <si>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</si>
  <si>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</si>
  <si>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</si>
  <si>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</si>
  <si>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</si>
  <si>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</si>
  <si>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</si>
  <si>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</si>
  <si>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</si>
  <si>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</si>
  <si>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</si>
  <si>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</si>
  <si>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</si>
  <si>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</si>
  <si>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</si>
  <si>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</si>
  <si>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</si>
  <si>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</si>
  <si>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</si>
  <si>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</si>
  <si>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</si>
  <si>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</si>
  <si>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</si>
  <si>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</si>
  <si>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</si>
  <si>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</si>
  <si>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</si>
  <si>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</si>
  <si>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</si>
  <si>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</si>
  <si>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</si>
  <si>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</si>
  <si>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</si>
  <si>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</si>
  <si>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</si>
  <si>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</si>
  <si>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r>
      <t xml:space="preserve">Αριθμός Πακέτου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</si>
  <si>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</si>
  <si>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</si>
  <si>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</si>
  <si>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διαφορετικό πακέτο να προστεθεί η τιμή "2")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</si>
  <si>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</si>
  <si>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</si>
  <si>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</si>
  <si>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</si>
  <si>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</si>
  <si>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</si>
  <si>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</si>
  <si>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</si>
  <si>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</si>
  <si>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</si>
  <si>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</si>
  <si>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</si>
  <si>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</si>
  <si>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</si>
  <si>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</si>
  <si>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</si>
  <si>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</si>
  <si>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</si>
  <si>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</si>
  <si>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</si>
  <si>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</si>
  <si>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</si>
  <si>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</si>
  <si>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</si>
  <si>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</si>
  <si>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</si>
  <si>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</si>
  <si>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</si>
  <si>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</si>
  <si>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</si>
  <si>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</si>
  <si>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</si>
  <si>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</si>
  <si>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</si>
  <si>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</si>
  <si>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</si>
  <si>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</si>
  <si>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</si>
  <si>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</si>
  <si>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</si>
  <si>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</si>
  <si>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</si>
  <si>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</si>
  <si>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</si>
  <si>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</si>
  <si>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</si>
  <si>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</si>
  <si>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</si>
  <si>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</si>
  <si>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</si>
  <si>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</si>
  <si>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</si>
  <si>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</si>
  <si>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</si>
  <si>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</si>
  <si>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</si>
  <si>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</si>
  <si>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</si>
  <si>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</si>
  <si>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</si>
  <si>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</si>
  <si>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</si>
  <si>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</si>
  <si>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</si>
  <si>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</si>
  <si>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</si>
  <si>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</si>
  <si>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</si>
  <si>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</si>
  <si>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</si>
  <si>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</si>
  <si>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</si>
  <si>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</si>
  <si>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</si>
  <si>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</si>
  <si>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</si>
  <si>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</si>
  <si>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</si>
  <si>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</si>
  <si>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</si>
  <si>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</si>
  <si>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</si>
  <si>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</si>
  <si>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</si>
  <si>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</si>
  <si>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</si>
  <si>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</si>
  <si>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</si>
  <si>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</si>
  <si>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</si>
  <si>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</si>
  <si>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</si>
  <si>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</si>
  <si>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</si>
  <si>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</si>
  <si>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</si>
  <si>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</si>
  <si>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</si>
  <si>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</si>
  <si>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</si>
  <si>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</si>
  <si>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</si>
  <si>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</si>
  <si>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</si>
  <si>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</si>
  <si>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</si>
  <si>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</si>
  <si>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</si>
  <si>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</si>
  <si>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</si>
  <si>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</si>
  <si>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</si>
  <si>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</si>
  <si>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</si>
  <si>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</si>
  <si>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</si>
  <si>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</si>
  <si>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</si>
  <si>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</si>
  <si>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</si>
  <si>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</si>
  <si>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</si>
  <si>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</si>
  <si>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</si>
  <si>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</si>
  <si>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</si>
  <si>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</si>
  <si>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</si>
  <si>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</si>
  <si>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</si>
  <si>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</si>
  <si>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</si>
  <si>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</si>
  <si>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</si>
  <si>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</si>
  <si>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</si>
  <si>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</si>
  <si>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</si>
  <si>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</si>
  <si>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</si>
  <si>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</si>
  <si>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</si>
  <si>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</si>
  <si>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</si>
  <si>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</si>
  <si>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</si>
  <si>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</si>
  <si>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</si>
  <si>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</si>
  <si>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</si>
  <si>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</si>
  <si>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</si>
  <si>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</si>
  <si>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</si>
  <si>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</si>
  <si>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</si>
  <si>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</si>
  <si>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</si>
  <si>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</si>
  <si>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</si>
  <si>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</si>
  <si>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</si>
  <si>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</si>
  <si>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</si>
  <si>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</si>
  <si>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</si>
  <si>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</si>
  <si>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</si>
  <si>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</si>
  <si>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</si>
  <si>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</si>
  <si>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</si>
  <si>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</si>
  <si>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</si>
  <si>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</si>
  <si>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</si>
  <si>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</si>
  <si>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</si>
  <si>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</si>
  <si>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</si>
  <si>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</si>
  <si>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</si>
  <si>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</si>
  <si>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</si>
  <si>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</si>
  <si>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</si>
  <si>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</si>
  <si>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</si>
  <si>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</si>
  <si>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</si>
  <si>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</si>
  <si>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</si>
  <si>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</si>
  <si>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</si>
  <si>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</si>
  <si>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</si>
  <si>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</si>
  <si>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</si>
  <si>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</si>
  <si>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</si>
  <si>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</si>
  <si>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</si>
  <si>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</si>
  <si>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</si>
  <si>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</si>
  <si>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</si>
  <si>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</si>
  <si>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</si>
  <si>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</si>
  <si>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</si>
  <si>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</si>
  <si>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</si>
  <si>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</si>
  <si>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</si>
  <si>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</si>
  <si>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</si>
  <si>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</si>
  <si>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</si>
  <si>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</si>
  <si>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</si>
  <si>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</si>
  <si>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</si>
  <si>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</si>
  <si>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</si>
  <si>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</si>
  <si>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</si>
  <si>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</si>
  <si>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</si>
  <si>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</si>
  <si>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</si>
  <si>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</si>
  <si>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</si>
  <si>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</si>
  <si>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</si>
  <si>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</si>
  <si>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</si>
  <si>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</si>
  <si>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</si>
  <si>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</si>
  <si>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</si>
  <si>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</si>
  <si>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</si>
  <si>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</si>
  <si>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</si>
  <si>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</si>
  <si>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</si>
  <si>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</si>
  <si>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</si>
  <si>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</si>
  <si>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</si>
  <si>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</si>
  <si>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</si>
  <si>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</si>
  <si>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</si>
  <si>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</si>
  <si>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</si>
  <si>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</si>
  <si>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</si>
  <si>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</si>
  <si>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</si>
  <si>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</si>
  <si>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</si>
  <si>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</si>
  <si>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</si>
  <si>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</si>
  <si>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</si>
  <si>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</si>
  <si>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</si>
  <si>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</si>
  <si>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</si>
  <si>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</si>
  <si>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</si>
  <si>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</si>
  <si>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</si>
  <si>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</si>
  <si>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</si>
  <si>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</si>
  <si>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</si>
  <si>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</si>
  <si>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</si>
  <si>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</si>
  <si>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</si>
  <si>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</si>
  <si>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</si>
  <si>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</si>
  <si>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</si>
  <si>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</si>
  <si>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</si>
  <si>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</si>
  <si>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</si>
  <si>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</si>
  <si>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</si>
  <si>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</si>
  <si>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</si>
  <si>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</si>
  <si>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</si>
  <si>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</si>
  <si>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</si>
  <si>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</si>
  <si>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</si>
  <si>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</si>
  <si>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</si>
  <si>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</si>
  <si>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</si>
  <si>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</si>
  <si>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</si>
  <si>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</si>
  <si>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</si>
  <si>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</si>
  <si>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</si>
  <si>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</si>
  <si>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</si>
  <si>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</si>
  <si>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</si>
  <si>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</si>
  <si>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</si>
  <si>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</si>
  <si>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</si>
  <si>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</si>
  <si>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</si>
  <si>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</si>
  <si>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</si>
  <si>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</si>
  <si>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</si>
  <si>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</si>
  <si>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</si>
  <si>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</si>
  <si>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</si>
  <si>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</si>
  <si>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</si>
  <si>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</si>
  <si>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</si>
  <si>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</si>
  <si>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</si>
  <si>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</si>
  <si>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</si>
  <si>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</si>
  <si>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</si>
  <si>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</si>
  <si>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</si>
  <si>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</si>
  <si>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</si>
  <si>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</si>
  <si>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</si>
  <si>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</si>
  <si>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</si>
  <si>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>TotalTime3</t>
  </si>
  <si>
    <t>WIND</t>
  </si>
  <si>
    <t>N/A</t>
  </si>
  <si>
    <t>TransmitDirection2</t>
  </si>
  <si>
    <t/>
  </si>
  <si>
    <t>totalareas</t>
  </si>
  <si>
    <t>Περιοχές</t>
  </si>
  <si>
    <t>FaultSubmissionInfo</t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</si>
  <si>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</si>
  <si>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</si>
  <si>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t>VODAFONE</t>
  </si>
  <si>
    <t>Τελευταία έκδοση Excel: 5/6/2020</t>
  </si>
  <si>
    <t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t>
  </si>
  <si>
    <t>Κανένας Περιορισμός</t>
  </si>
  <si>
    <t>Δεν Παρέχεται</t>
  </si>
  <si>
    <t>https://www.wind.gr/gr/wind/upostirixi/upostirixi-statheri-internet/</t>
  </si>
  <si>
    <t>Για την ομαλή και ασφαλή λειτουργία του δικτύου IP, η Wind έχει υλοποιήσει ένα μηχανισμό άμεσης διακόπης και επανασύνδεσης (refresh) της σύνδεσης των συνδρομητών ίντερνετ κάθε 72 ώρες. Ο μηχανισμός αυτός επεμβαίνει μόνο στην περίπτωση πλήρους χρήσης της σύνδεσης για 72 συνεχείς ώρες.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</si>
</sst>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0" fillId="3" borderId="19" xfId="0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4" fillId="3" borderId="5" xfId="0" applyNumberFormat="1" applyFont="1" applyFill="1" applyBorder="1" applyAlignment="1">
      <alignment horizontal="left" vertical="top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top"/>
    </xf>
    <xf numFmtId="0" fontId="5" fillId="3" borderId="35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40" xfId="0" applyFill="1" applyBorder="1"/>
    <xf numFmtId="0" fontId="4" fillId="3" borderId="42" xfId="0" applyFont="1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0" fillId="3" borderId="44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4" fillId="3" borderId="45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3" borderId="46" xfId="0" applyFont="1" applyFill="1" applyBorder="1" applyAlignment="1">
      <alignment horizontal="center" vertical="top"/>
    </xf>
    <xf numFmtId="0" fontId="4" fillId="3" borderId="47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 wrapText="1"/>
    </xf>
    <xf numFmtId="0" fontId="0" fillId="0" borderId="45" xfId="0" applyFill="1" applyBorder="1"/>
    <xf numFmtId="0" fontId="0" fillId="3" borderId="48" xfId="0" applyFill="1" applyBorder="1" applyAlignment="1">
      <alignment horizontal="center" vertical="top"/>
    </xf>
    <xf numFmtId="0" fontId="4" fillId="3" borderId="49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0" fillId="3" borderId="47" xfId="0" applyFill="1" applyBorder="1" applyAlignment="1">
      <alignment horizontal="left" vertical="top" wrapText="1"/>
    </xf>
    <xf numFmtId="0" fontId="0" fillId="0" borderId="50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4" fillId="3" borderId="48" xfId="0" applyFont="1" applyFill="1" applyBorder="1" applyAlignment="1">
      <alignment horizontal="center" vertical="top"/>
    </xf>
    <xf numFmtId="0" fontId="0" fillId="3" borderId="53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40" xfId="0" applyFont="1" applyFill="1" applyBorder="1" applyAlignment="1">
      <alignment horizontal="center" vertical="top"/>
    </xf>
    <xf numFmtId="0" fontId="0" fillId="0" borderId="40" xfId="0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>
      <alignment vertical="top" wrapText="1"/>
    </xf>
    <xf numFmtId="2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46" xfId="0" applyBorder="1" applyAlignment="1" applyProtection="1">
      <alignment horizontal="left" vertical="top"/>
      <protection locked="0"/>
    </xf>
    <xf numFmtId="0" fontId="0" fillId="3" borderId="52" xfId="0" applyFont="1" applyFill="1" applyBorder="1" applyAlignment="1">
      <alignment horizontal="left" vertical="top"/>
    </xf>
    <xf numFmtId="0" fontId="0" fillId="3" borderId="45" xfId="0" applyFont="1" applyFill="1" applyBorder="1" applyAlignment="1">
      <alignment horizontal="left" vertical="top"/>
    </xf>
    <xf numFmtId="0" fontId="0" fillId="3" borderId="4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0" fontId="0" fillId="0" borderId="26" xfId="0" applyBorder="1" applyAlignment="1" applyProtection="1">
      <alignment horizontal="center" vertical="top"/>
      <protection locked="0"/>
    </xf>
    <xf numFmtId="2" fontId="0" fillId="3" borderId="57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2" borderId="60" xfId="0" applyFont="1" applyFill="1" applyBorder="1" applyAlignment="1">
      <alignment vertical="top" wrapText="1"/>
    </xf>
    <xf numFmtId="0" fontId="0" fillId="3" borderId="4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3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4" fillId="3" borderId="40" xfId="0" applyFont="1" applyFill="1" applyBorder="1" applyAlignment="1" applyProtection="1">
      <alignment horizontal="center" vertical="top"/>
    </xf>
    <xf numFmtId="2" fontId="4" fillId="3" borderId="40" xfId="0" applyNumberFormat="1" applyFont="1" applyFill="1" applyBorder="1" applyAlignment="1" applyProtection="1">
      <alignment horizontal="center" vertical="center" wrapText="1"/>
    </xf>
    <xf numFmtId="2" fontId="4" fillId="3" borderId="19" xfId="0" applyNumberFormat="1" applyFont="1" applyFill="1" applyBorder="1" applyAlignment="1" applyProtection="1">
      <alignment horizontal="center" vertical="center" wrapText="1"/>
    </xf>
    <xf numFmtId="2" fontId="4" fillId="3" borderId="50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right" vertical="top" wrapText="1"/>
      <protection locked="0"/>
    </xf>
    <xf numFmtId="1" fontId="0" fillId="0" borderId="8" xfId="0" applyNumberFormat="1" applyFill="1" applyBorder="1" applyAlignment="1" applyProtection="1">
      <alignment horizontal="right" vertical="top" wrapText="1"/>
      <protection locked="0"/>
    </xf>
    <xf numFmtId="0" fontId="0" fillId="0" borderId="57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9" fillId="7" borderId="0" xfId="0" applyFont="1" applyFill="1" applyBorder="1"/>
    <xf numFmtId="0" fontId="8" fillId="7" borderId="0" xfId="0" applyFont="1" applyFill="1" applyBorder="1" applyAlignment="1">
      <alignment vertical="top" wrapText="1"/>
    </xf>
    <xf numFmtId="3" fontId="9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10" fillId="7" borderId="0" xfId="0" applyFont="1" applyFill="1"/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9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4" fillId="3" borderId="0" xfId="0" applyNumberFormat="1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49" fontId="4" fillId="3" borderId="38" xfId="0" applyNumberFormat="1" applyFont="1" applyFill="1" applyBorder="1" applyAlignment="1">
      <alignment wrapText="1"/>
    </xf>
    <xf numFmtId="49" fontId="4" fillId="3" borderId="39" xfId="0" applyNumberFormat="1" applyFont="1" applyFill="1" applyBorder="1" applyAlignment="1">
      <alignment wrapText="1"/>
    </xf>
    <xf numFmtId="49" fontId="4" fillId="3" borderId="20" xfId="0" applyNumberFormat="1" applyFont="1" applyFill="1" applyBorder="1" applyAlignment="1">
      <alignment wrapText="1"/>
    </xf>
    <xf numFmtId="0" fontId="0" fillId="0" borderId="14" xfId="0" applyBorder="1" applyAlignment="1">
      <alignment horizontal="left" vertical="top"/>
    </xf>
    <xf numFmtId="3" fontId="4" fillId="3" borderId="55" xfId="0" applyNumberFormat="1" applyFont="1" applyFill="1" applyBorder="1" applyAlignment="1">
      <alignment horizontal="left" vertical="top" wrapText="1"/>
    </xf>
    <xf numFmtId="3" fontId="4" fillId="3" borderId="56" xfId="0" applyNumberFormat="1" applyFont="1" applyFill="1" applyBorder="1" applyAlignment="1">
      <alignment horizontal="left" vertical="top" wrapText="1"/>
    </xf>
    <xf numFmtId="3" fontId="4" fillId="3" borderId="57" xfId="0" applyNumberFormat="1" applyFont="1" applyFill="1" applyBorder="1" applyAlignment="1">
      <alignment horizontal="left" vertical="top" wrapText="1"/>
    </xf>
    <xf numFmtId="0" fontId="2" fillId="2" borderId="59" xfId="0" applyFont="1" applyFill="1" applyBorder="1" applyAlignment="1">
      <alignment vertical="top" wrapText="1"/>
    </xf>
    <xf numFmtId="3" fontId="4" fillId="3" borderId="20" xfId="0" applyNumberFormat="1" applyFont="1" applyFill="1" applyBorder="1" applyAlignment="1">
      <alignment horizontal="left" vertical="top" wrapText="1"/>
    </xf>
    <xf numFmtId="3" fontId="4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4" xfId="0" quotePrefix="1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3" borderId="14" xfId="0" applyNumberFormat="1" applyFill="1" applyBorder="1" applyAlignment="1" applyProtection="1">
      <alignment horizontal="left" vertical="top" wrapText="1"/>
    </xf>
    <xf numFmtId="2" fontId="0" fillId="0" borderId="8" xfId="0" quotePrefix="1" applyNumberFormat="1" applyFill="1" applyBorder="1" applyAlignment="1" applyProtection="1">
      <alignment horizontal="left" vertical="top" wrapText="1"/>
      <protection locked="0"/>
    </xf>
    <xf numFmtId="0" fontId="0" fillId="7" borderId="0" xfId="0" applyFill="1"/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7" borderId="66" xfId="0" applyFill="1" applyBorder="1"/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9" xfId="0" quotePrefix="1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3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2" fontId="4" fillId="3" borderId="28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wrapText="1"/>
    </xf>
    <xf numFmtId="2" fontId="4" fillId="3" borderId="20" xfId="0" applyNumberFormat="1" applyFont="1" applyFill="1" applyBorder="1" applyAlignment="1">
      <alignment wrapText="1"/>
    </xf>
    <xf numFmtId="2" fontId="4" fillId="3" borderId="21" xfId="0" applyNumberFormat="1" applyFont="1" applyFill="1" applyBorder="1" applyAlignment="1">
      <alignment wrapText="1"/>
    </xf>
    <xf numFmtId="2" fontId="4" fillId="3" borderId="22" xfId="0" applyNumberFormat="1" applyFont="1" applyFill="1" applyBorder="1" applyAlignment="1">
      <alignment wrapText="1"/>
    </xf>
    <xf numFmtId="2" fontId="0" fillId="3" borderId="8" xfId="0" applyNumberFormat="1" applyFill="1" applyBorder="1" applyAlignment="1">
      <alignment horizontal="right" vertical="top" wrapText="1"/>
    </xf>
    <xf numFmtId="1" fontId="4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49" fontId="0" fillId="0" borderId="37" xfId="0" quotePrefix="1" applyNumberFormat="1" applyFill="1" applyBorder="1" applyAlignment="1" applyProtection="1">
      <alignment horizontal="left" vertical="top" wrapText="1"/>
      <protection locked="0"/>
    </xf>
    <xf numFmtId="49" fontId="0" fillId="0" borderId="41" xfId="0" quotePrefix="1" applyNumberFormat="1" applyFill="1" applyBorder="1" applyAlignment="1" applyProtection="1">
      <alignment horizontal="left" vertical="top" wrapText="1"/>
      <protection locked="0"/>
    </xf>
    <xf numFmtId="0" fontId="0" fillId="3" borderId="54" xfId="0" applyFont="1" applyFill="1" applyBorder="1" applyAlignment="1">
      <alignment horizontal="left" vertical="top"/>
    </xf>
    <xf numFmtId="0" fontId="5" fillId="0" borderId="1" xfId="0" quotePrefix="1" applyFont="1" applyFill="1" applyBorder="1" applyAlignment="1" applyProtection="1">
      <alignment horizontal="center" vertical="top"/>
    </xf>
    <xf numFmtId="3" fontId="0" fillId="0" borderId="38" xfId="0" quotePrefix="1" applyNumberFormat="1" applyFill="1" applyBorder="1" applyAlignment="1" applyProtection="1">
      <alignment horizontal="left" vertical="top" wrapText="1"/>
      <protection locked="0"/>
    </xf>
    <xf numFmtId="0" fontId="0" fillId="3" borderId="8" xfId="0" quotePrefix="1" applyFill="1" applyBorder="1" applyAlignment="1">
      <alignment horizontal="left" vertical="top" wrapText="1"/>
    </xf>
    <xf numFmtId="0" fontId="0" fillId="3" borderId="40" xfId="0" applyFont="1" applyFill="1" applyBorder="1" applyAlignment="1">
      <alignment horizontal="left" vertical="top"/>
    </xf>
    <xf numFmtId="0" fontId="0" fillId="3" borderId="61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0" fontId="0" fillId="0" borderId="20" xfId="0" quotePrefix="1" applyNumberFormat="1" applyFill="1" applyBorder="1" applyAlignment="1" applyProtection="1">
      <alignment horizontal="left" vertical="top" wrapText="1"/>
      <protection locked="0"/>
    </xf>
    <xf numFmtId="0" fontId="0" fillId="0" borderId="40" xfId="0" quotePrefix="1" applyBorder="1" applyAlignment="1" applyProtection="1">
      <alignment horizontal="left" vertical="top" wrapText="1"/>
      <protection locked="0"/>
    </xf>
    <xf numFmtId="0" fontId="0" fillId="0" borderId="1" xfId="0" quotePrefix="1" applyBorder="1" applyAlignment="1" applyProtection="1">
      <alignment horizontal="left" vertical="top" wrapText="1"/>
      <protection locked="0"/>
    </xf>
    <xf numFmtId="0" fontId="0" fillId="3" borderId="0" xfId="0" applyFont="1" applyFill="1" applyBorder="1" applyAlignment="1">
      <alignment horizontal="left" vertical="top"/>
    </xf>
    <xf numFmtId="0" fontId="0" fillId="3" borderId="21" xfId="0" applyFont="1" applyFill="1" applyBorder="1" applyAlignment="1">
      <alignment horizontal="left" vertical="top"/>
    </xf>
    <xf numFmtId="2" fontId="0" fillId="0" borderId="68" xfId="0" quotePrefix="1" applyNumberFormat="1" applyFill="1" applyBorder="1" applyAlignment="1" applyProtection="1">
      <alignment horizontal="left" vertical="top" wrapText="1"/>
      <protection locked="0"/>
    </xf>
    <xf numFmtId="3" fontId="0" fillId="3" borderId="8" xfId="0" applyNumberFormat="1" applyFill="1" applyBorder="1" applyAlignment="1" applyProtection="1">
      <alignment horizontal="left" vertical="top" wrapText="1"/>
    </xf>
    <xf numFmtId="0" fontId="0" fillId="0" borderId="56" xfId="0" quotePrefix="1" applyFill="1" applyBorder="1" applyAlignment="1" applyProtection="1">
      <alignment horizontal="left" vertical="top" wrapText="1"/>
      <protection locked="0"/>
    </xf>
    <xf numFmtId="0" fontId="4" fillId="3" borderId="56" xfId="0" quotePrefix="1" applyFont="1" applyFill="1" applyBorder="1" applyAlignment="1" applyProtection="1">
      <alignment horizontal="left" vertical="top" wrapText="1"/>
    </xf>
    <xf numFmtId="0" fontId="4" fillId="3" borderId="57" xfId="0" quotePrefix="1" applyFont="1" applyFill="1" applyBorder="1" applyAlignment="1" applyProtection="1">
      <alignment horizontal="left" vertical="top" wrapText="1"/>
    </xf>
    <xf numFmtId="4" fontId="0" fillId="0" borderId="15" xfId="0" quotePrefix="1" applyNumberFormat="1" applyFill="1" applyBorder="1" applyAlignment="1" applyProtection="1">
      <alignment horizontal="left" vertical="top" wrapText="1"/>
      <protection locked="0"/>
    </xf>
    <xf numFmtId="4" fontId="0" fillId="0" borderId="34" xfId="0" quotePrefix="1" applyNumberFormat="1" applyFill="1" applyBorder="1" applyAlignment="1" applyProtection="1">
      <alignment horizontal="left" vertical="top" wrapText="1"/>
      <protection locked="0"/>
    </xf>
    <xf numFmtId="4" fontId="0" fillId="0" borderId="1" xfId="0" quotePrefix="1" applyNumberFormat="1" applyFill="1" applyBorder="1" applyAlignment="1" applyProtection="1">
      <alignment horizontal="left" vertical="top" wrapText="1"/>
      <protection locked="0"/>
    </xf>
    <xf numFmtId="4" fontId="0" fillId="0" borderId="5" xfId="0" quotePrefix="1" applyNumberFormat="1" applyFill="1" applyBorder="1" applyAlignment="1" applyProtection="1">
      <alignment horizontal="left" vertical="top" wrapText="1"/>
      <protection locked="0"/>
    </xf>
    <xf numFmtId="0" fontId="0" fillId="0" borderId="1" xfId="0" quotePrefix="1" applyFill="1" applyBorder="1" applyAlignment="1" applyProtection="1">
      <alignment horizontal="left" vertical="top" wrapText="1"/>
      <protection locked="0"/>
    </xf>
    <xf numFmtId="0" fontId="0" fillId="0" borderId="5" xfId="0" quotePrefix="1" applyFill="1" applyBorder="1" applyAlignment="1" applyProtection="1">
      <alignment horizontal="left" vertical="top" wrapText="1"/>
      <protection locked="0"/>
    </xf>
    <xf numFmtId="165" fontId="0" fillId="0" borderId="8" xfId="0" applyNumberFormat="1" applyFill="1" applyBorder="1" applyAlignment="1" applyProtection="1">
      <alignment horizontal="left" vertical="top"/>
      <protection locked="0"/>
    </xf>
    <xf numFmtId="2" fontId="0" fillId="0" borderId="52" xfId="0" quotePrefix="1" applyNumberFormat="1" applyFill="1" applyBorder="1" applyAlignment="1" applyProtection="1">
      <alignment horizontal="left" vertical="top" wrapText="1"/>
      <protection locked="0"/>
    </xf>
    <xf numFmtId="2" fontId="0" fillId="0" borderId="52" xfId="0" applyNumberFormat="1" applyFill="1" applyBorder="1" applyAlignment="1" applyProtection="1">
      <alignment horizontal="left" vertical="top" wrapText="1"/>
      <protection locked="0"/>
    </xf>
    <xf numFmtId="2" fontId="0" fillId="0" borderId="43" xfId="0" applyNumberFormat="1" applyFill="1" applyBorder="1" applyAlignment="1" applyProtection="1">
      <alignment horizontal="left" vertical="top" wrapText="1"/>
      <protection locked="0"/>
    </xf>
    <xf numFmtId="2" fontId="0" fillId="0" borderId="44" xfId="0" applyNumberFormat="1" applyFill="1" applyBorder="1" applyAlignment="1" applyProtection="1">
      <alignment horizontal="left" vertical="top" wrapText="1"/>
      <protection locked="0"/>
    </xf>
    <xf numFmtId="0" fontId="2" fillId="2" borderId="70" xfId="0" applyFont="1" applyFill="1" applyBorder="1" applyAlignment="1" applyProtection="1">
      <alignment vertical="top" wrapText="1"/>
    </xf>
    <xf numFmtId="1" fontId="0" fillId="3" borderId="5" xfId="0" applyNumberFormat="1" applyFill="1" applyBorder="1" applyAlignment="1">
      <alignment horizontal="left" vertical="top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righ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</xf>
    <xf numFmtId="1" fontId="0" fillId="0" borderId="34" xfId="0" applyNumberFormat="1" applyFill="1" applyBorder="1" applyAlignment="1" applyProtection="1">
      <alignment horizontal="righ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 wrapText="1"/>
    </xf>
    <xf numFmtId="1" fontId="0" fillId="3" borderId="5" xfId="0" applyNumberFormat="1" applyFill="1" applyBorder="1" applyAlignment="1" applyProtection="1">
      <alignment horizontal="left" vertical="top" wrapText="1"/>
    </xf>
    <xf numFmtId="0" fontId="0" fillId="3" borderId="19" xfId="0" quotePrefix="1" applyFill="1" applyBorder="1" applyAlignment="1">
      <alignment horizontal="left" vertical="top" wrapText="1"/>
    </xf>
    <xf numFmtId="2" fontId="0" fillId="3" borderId="5" xfId="0" applyNumberFormat="1" applyFill="1" applyBorder="1" applyAlignment="1">
      <alignment horizontal="right" vertical="top" wrapText="1"/>
    </xf>
    <xf numFmtId="1" fontId="0" fillId="3" borderId="26" xfId="0" applyNumberFormat="1" applyFill="1" applyBorder="1" applyAlignment="1" applyProtection="1">
      <alignment horizontal="left" vertical="top" wrapText="1"/>
    </xf>
    <xf numFmtId="0" fontId="0" fillId="4" borderId="0" xfId="0" applyFill="1"/>
    <xf numFmtId="0" fontId="9" fillId="4" borderId="0" xfId="0" applyFont="1" applyFill="1"/>
  </cellXfs>
  <cellStyles count="1">
    <cellStyle name="Κανονικό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24"/>
  <sheetViews>
    <sheetView tabSelected="1" topLeftCell="A11" zoomScale="85" zoomScaleNormal="85" workbookViewId="0">
      <selection activeCell="B19" sqref="B19"/>
    </sheetView>
  </sheetViews>
  <sheetFormatPr defaultColWidth="0" defaultRowHeight="14.4" zeroHeight="1" x14ac:dyDescent="0.3"/>
  <cols>
    <col min="1" max="1" width="41" style="170" customWidth="1"/>
    <col min="2" max="2" width="14.88671875" style="170" customWidth="1"/>
    <col min="3" max="3" width="58.6640625" style="170" customWidth="1"/>
    <col min="4" max="4" width="19.44140625" style="170" hidden="1" customWidth="1"/>
    <col min="5" max="5" width="0" style="170" hidden="1" customWidth="1"/>
    <col min="6" max="16384" width="9.109375" style="170" hidden="1"/>
  </cols>
  <sheetData>
    <row r="1" spans="1:5" x14ac:dyDescent="0.3">
      <c r="A1" s="173"/>
      <c r="B1" s="173"/>
      <c r="C1" s="9" t="s">
        <v>28</v>
      </c>
    </row>
    <row r="2" spans="1:5" ht="22.5" customHeight="1" x14ac:dyDescent="0.3">
      <c r="A2" s="9" t="s">
        <v>28</v>
      </c>
      <c r="B2" s="9"/>
      <c r="C2" s="85" t="s">
        <v>922</v>
      </c>
    </row>
    <row r="3" spans="1:5" ht="22.5" customHeight="1" x14ac:dyDescent="0.3">
      <c r="A3" s="9" t="s">
        <v>551</v>
      </c>
      <c r="B3" s="9"/>
      <c r="C3" s="85"/>
    </row>
    <row r="4" spans="1:5" ht="22.5" hidden="1" customHeight="1" x14ac:dyDescent="0.3">
      <c r="A4" s="9" t="s">
        <v>28</v>
      </c>
      <c r="B4" s="9"/>
      <c r="C4" s="86" t="str">
        <f>IF(C2="",TEXT(C3,),C2)</f>
        <v>WIND</v>
      </c>
    </row>
    <row r="5" spans="1:5" ht="22.5" customHeight="1" x14ac:dyDescent="0.3">
      <c r="A5" s="9" t="s">
        <v>0</v>
      </c>
      <c r="B5" s="9"/>
      <c r="C5" s="85" t="s">
        <v>24</v>
      </c>
    </row>
    <row r="6" spans="1:5" ht="22.5" customHeight="1" x14ac:dyDescent="0.3">
      <c r="A6" s="9" t="s">
        <v>1</v>
      </c>
      <c r="B6" s="9"/>
      <c r="C6" s="167">
        <v>2021</v>
      </c>
    </row>
    <row r="7" spans="1:5" ht="22.5" customHeight="1" x14ac:dyDescent="0.3">
      <c r="A7" s="9" t="s">
        <v>449</v>
      </c>
      <c r="B7" s="9"/>
      <c r="C7" s="168">
        <v>44197</v>
      </c>
    </row>
    <row r="8" spans="1:5" ht="22.5" customHeight="1" x14ac:dyDescent="0.3">
      <c r="A8" s="9" t="s">
        <v>450</v>
      </c>
      <c r="B8" s="9"/>
      <c r="C8" s="168">
        <v>44377</v>
      </c>
    </row>
    <row r="9" spans="1:5" ht="67.5" customHeight="1" x14ac:dyDescent="0.3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3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ΣΤΕΡΕΑΣ ΕΛΛΑΔΑΣ - ΧΑΛΚΙΔΕΩΝ</v>
      </c>
    </row>
    <row r="11" spans="1:5" ht="67.5" customHeight="1" x14ac:dyDescent="0.3">
      <c r="A11" s="9" t="s">
        <v>421</v>
      </c>
      <c r="B11" s="9"/>
      <c r="C11" s="273"/>
    </row>
    <row r="12" spans="1:5" x14ac:dyDescent="0.3"/>
    <row r="13" spans="1:5" ht="15" thickBot="1" x14ac:dyDescent="0.35"/>
    <row r="14" spans="1:5" ht="31.5" customHeight="1" thickBot="1" x14ac:dyDescent="0.35">
      <c r="A14" s="33" t="s">
        <v>465</v>
      </c>
      <c r="B14" s="51"/>
      <c r="C14" s="12" t="str">
        <f>IF(OR(C5="",C4="",C6="",C7="",C8=""),"ΥΠΑΡΧΟΥΝ ΛΑΘΗ","ΤΑ ΣΤΟΙΧΕΙΑ ΕΙΝΑΙ ΠΛΗΡΗ")</f>
        <v>ΤΑ ΣΤΟΙΧΕΙΑ ΕΙΝΑΙ ΠΛΗΡΗ</v>
      </c>
      <c r="E14" s="171"/>
    </row>
    <row r="15" spans="1:5" ht="31.5" customHeight="1" thickBot="1" x14ac:dyDescent="0.35">
      <c r="A15" s="174"/>
      <c r="B15" s="53" t="s">
        <v>489</v>
      </c>
      <c r="C15" s="52" t="str">
        <f>CONCATENATE(IF($B$16="ΝΑΙ",COUNTIF('B01'!N:N,"ΣΦΑΛΜΑ"),0)+IF(B17="ΝΑΙ",COUNTIF('B02'!O:O,"ΣΦΑΛΜΑ"),0)+COUNTIF('B03'!M:M,"ΣΦΑΛΜΑ")+COUNTIF('B04'!P:P,"ΣΦΑΛΜΑ")+COUNTIF('B05'!S:S,"ΣΦΑΛΜΑ")+COUNTIF('B06'!O:O,"ΣΦΑΛΜΑ")++COUNTIF('B07'!S:S,"ΣΦΑΛΜΑ")+COUNTIF('B08'!R:R,"ΣΦΑΛΜΑ")," ΣΦΑΛΜΑΤΑ")</f>
        <v>8 ΣΦΑΛΜΑΤΑ</v>
      </c>
    </row>
    <row r="16" spans="1:5" ht="18.600000000000001" thickBot="1" x14ac:dyDescent="0.35">
      <c r="A16" s="33" t="s">
        <v>488</v>
      </c>
      <c r="B16" s="169" t="s">
        <v>420</v>
      </c>
      <c r="C16" s="12" t="str">
        <f>IF(OR(B16="ΟΧΙ",COUNTIF('B01'!N:N,"ΣΦΑΛΜΑ")=0),"ΤΑ ΣΤΟΙΧΕΙΑ ΕΙΝΑΙ ΟΡΘΑ","ΥΠΑΡΧΟΥΝ ΛΑΘΗ")</f>
        <v>ΤΑ ΣΤΟΙΧΕΙΑ ΕΙΝΑΙ ΟΡΘΑ</v>
      </c>
      <c r="D16" s="172"/>
    </row>
    <row r="17" spans="1:3" ht="18.600000000000001" thickBot="1" x14ac:dyDescent="0.35">
      <c r="A17" s="33" t="s">
        <v>490</v>
      </c>
      <c r="B17" s="169" t="s">
        <v>420</v>
      </c>
      <c r="C17" s="12" t="str">
        <f>IF(OR(B17="ΟΧΙ",COUNTIF('B02'!O:O,"ΣΦΑΛΜΑ")=0),"ΤΑ ΣΤΟΙΧΕΙΑ ΕΙΝΑΙ ΟΡΘΑ","ΥΠΑΡΧΟΥΝ ΛΑΘΗ")</f>
        <v>ΤΑ ΣΤΟΙΧΕΙΑ ΕΙΝΑΙ ΟΡΘΑ</v>
      </c>
    </row>
    <row r="18" spans="1:3" ht="18.600000000000001" thickBot="1" x14ac:dyDescent="0.35">
      <c r="A18" s="33" t="s">
        <v>491</v>
      </c>
      <c r="B18" s="169" t="s">
        <v>420</v>
      </c>
      <c r="C18" s="12" t="str">
        <f>IF(OR(B18="ΟΧΙ",COUNTIF('B03'!M:M,"ΣΦΑΛΜΑ")=0),"ΤΑ ΣΤΟΙΧΕΙΑ ΕΙΝΑΙ ΟΡΘΑ","ΥΠΑΡΧΟΥΝ ΛΑΘΗ")</f>
        <v>ΤΑ ΣΤΟΙΧΕΙΑ ΕΙΝΑΙ ΟΡΘΑ</v>
      </c>
    </row>
    <row r="19" spans="1:3" ht="18.600000000000001" thickBot="1" x14ac:dyDescent="0.35">
      <c r="A19" s="33" t="s">
        <v>492</v>
      </c>
      <c r="B19" s="169" t="s">
        <v>420</v>
      </c>
      <c r="C19" s="12" t="str">
        <f>IF(OR(B19="ΟΧΙ",COUNTIF('B04'!P:P,"ΣΦΑΛΜΑ")=0),"ΤΑ ΣΤΟΙΧΕΙΑ ΕΙΝΑΙ ΟΡΘΑ","ΥΠΑΡΧΟΥΝ ΛΑΘΗ")</f>
        <v>ΤΑ ΣΤΟΙΧΕΙΑ ΕΙΝΑΙ ΟΡΘΑ</v>
      </c>
    </row>
    <row r="20" spans="1:3" ht="18.600000000000001" thickBot="1" x14ac:dyDescent="0.35">
      <c r="A20" s="33" t="s">
        <v>493</v>
      </c>
      <c r="B20" s="169" t="s">
        <v>419</v>
      </c>
      <c r="C20" s="12" t="str">
        <f>IF(OR(B20="ΟΧΙ",COUNTIF('B05'!S:S,"ΣΦΑΛΜΑ")=0),"ΤΑ ΣΤΟΙΧΕΙΑ ΕΙΝΑΙ ΟΡΘΑ","ΥΠΑΡΧΟΥΝ ΛΑΘΗ")</f>
        <v>ΤΑ ΣΤΟΙΧΕΙΑ ΕΙΝΑΙ ΟΡΘΑ</v>
      </c>
    </row>
    <row r="21" spans="1:3" ht="18.600000000000001" thickBot="1" x14ac:dyDescent="0.35">
      <c r="A21" s="33" t="s">
        <v>494</v>
      </c>
      <c r="B21" s="169" t="s">
        <v>419</v>
      </c>
      <c r="C21" s="12" t="str">
        <f>IF(OR(B21="ΟΧΙ",COUNTIF('B06'!O:O,"ΣΦΑΛΜΑ")=0),"ΤΑ ΣΤΟΙΧΕΙΑ ΕΙΝΑΙ ΟΡΘΑ","ΥΠΑΡΧΟΥΝ ΛΑΘΗ")</f>
        <v>ΤΑ ΣΤΟΙΧΕΙΑ ΕΙΝΑΙ ΟΡΘΑ</v>
      </c>
    </row>
    <row r="22" spans="1:3" ht="18.600000000000001" thickBot="1" x14ac:dyDescent="0.35">
      <c r="A22" s="33" t="s">
        <v>495</v>
      </c>
      <c r="B22" s="169" t="s">
        <v>419</v>
      </c>
      <c r="C22" s="12" t="str">
        <f>IF(OR(B21="ΟΧΙ",COUNTIF('B07'!S:S,"ΣΦΑΛΜΑ")=0),"ΤΑ ΣΤΟΙΧΕΙΑ ΕΙΝΑΙ ΟΡΘΑ","ΥΠΑΡΧΟΥΝ ΛΑΘΗ")</f>
        <v>ΤΑ ΣΤΟΙΧΕΙΑ ΕΙΝΑΙ ΟΡΘΑ</v>
      </c>
    </row>
    <row r="23" spans="1:3" ht="18.600000000000001" thickBot="1" x14ac:dyDescent="0.35">
      <c r="A23" s="33" t="s">
        <v>496</v>
      </c>
      <c r="B23" s="169" t="s">
        <v>419</v>
      </c>
      <c r="C23" s="12" t="str">
        <f>IF(OR(B23="ΟΧΙ",COUNTIF('B08'!R:R,"ΣΦΑΛΜΑ")=0),"ΤΑ ΣΤΟΙΧΕΙΑ ΕΙΝΑΙ ΟΡΘΑ","ΥΠΑΡΧΟΥΝ ΛΑΘΗ")</f>
        <v>ΤΑ ΣΤΟΙΧΕΙΑ ΕΙΝΑΙ ΟΡΘΑ</v>
      </c>
    </row>
    <row r="24" spans="1:3" x14ac:dyDescent="0.3">
      <c r="A24" s="316" t="s">
        <v>932</v>
      </c>
      <c r="B24" s="315"/>
      <c r="C24" s="315"/>
    </row>
  </sheetData>
  <sheetProtection algorithmName="SHA-512" hashValue="iskPayQ68Zi02SywblXrKOK8ATOYvOVy5PXxIOgZcX5zINaSWv72TDc1nqqmZboS4IlW4BCjTyHQ+ov2yTh6/g==" saltValue="/nSGQrG1E+BjMvGUz/GKWA==" spinCount="100000" sheet="1" objects="1" scenarios="1"/>
  <conditionalFormatting sqref="C14:C15">
    <cfRule type="cellIs" dxfId="35" priority="19" operator="equal">
      <formula>"ΤΑ ΣΤΟΙΧΕΙΑ ΕΙΝΑΙ ΟΡΘΑ"</formula>
    </cfRule>
    <cfRule type="cellIs" dxfId="34" priority="20" operator="equal">
      <formula>"ΥΠΑΡΧΟΥΝ ΛΑΘΗ"</formula>
    </cfRule>
  </conditionalFormatting>
  <conditionalFormatting sqref="C16">
    <cfRule type="cellIs" dxfId="33" priority="17" operator="equal">
      <formula>"ΤΑ ΣΤΟΙΧΕΙΑ ΕΙΝΑΙ ΟΡΘΑ"</formula>
    </cfRule>
    <cfRule type="cellIs" dxfId="32" priority="18" operator="equal">
      <formula>"ΥΠΑΡΧΟΥΝ ΛΑΘΗ"</formula>
    </cfRule>
  </conditionalFormatting>
  <conditionalFormatting sqref="C23">
    <cfRule type="cellIs" dxfId="31" priority="1" operator="equal">
      <formula>"ΤΑ ΣΤΟΙΧΕΙΑ ΕΙΝΑΙ ΟΡΘΑ"</formula>
    </cfRule>
    <cfRule type="cellIs" dxfId="30" priority="2" operator="equal">
      <formula>"ΥΠΑΡΧΟΥΝ ΛΑΘΗ"</formula>
    </cfRule>
  </conditionalFormatting>
  <conditionalFormatting sqref="C17">
    <cfRule type="cellIs" dxfId="29" priority="13" operator="equal">
      <formula>"ΤΑ ΣΤΟΙΧΕΙΑ ΕΙΝΑΙ ΟΡΘΑ"</formula>
    </cfRule>
    <cfRule type="cellIs" dxfId="28" priority="14" operator="equal">
      <formula>"ΥΠΑΡΧΟΥΝ ΛΑΘΗ"</formula>
    </cfRule>
  </conditionalFormatting>
  <conditionalFormatting sqref="C18">
    <cfRule type="cellIs" dxfId="27" priority="11" operator="equal">
      <formula>"ΤΑ ΣΤΟΙΧΕΙΑ ΕΙΝΑΙ ΟΡΘΑ"</formula>
    </cfRule>
    <cfRule type="cellIs" dxfId="26" priority="12" operator="equal">
      <formula>"ΥΠΑΡΧΟΥΝ ΛΑΘΗ"</formula>
    </cfRule>
  </conditionalFormatting>
  <conditionalFormatting sqref="C19">
    <cfRule type="cellIs" dxfId="25" priority="9" operator="equal">
      <formula>"ΤΑ ΣΤΟΙΧΕΙΑ ΕΙΝΑΙ ΟΡΘΑ"</formula>
    </cfRule>
    <cfRule type="cellIs" dxfId="24" priority="10" operator="equal">
      <formula>"ΥΠΑΡΧΟΥΝ ΛΑΘΗ"</formula>
    </cfRule>
  </conditionalFormatting>
  <conditionalFormatting sqref="C20">
    <cfRule type="cellIs" dxfId="23" priority="7" operator="equal">
      <formula>"ΤΑ ΣΤΟΙΧΕΙΑ ΕΙΝΑΙ ΟΡΘΑ"</formula>
    </cfRule>
    <cfRule type="cellIs" dxfId="22" priority="8" operator="equal">
      <formula>"ΥΠΑΡΧΟΥΝ ΛΑΘΗ"</formula>
    </cfRule>
  </conditionalFormatting>
  <conditionalFormatting sqref="C21">
    <cfRule type="cellIs" dxfId="21" priority="5" operator="equal">
      <formula>"ΤΑ ΣΤΟΙΧΕΙΑ ΕΙΝΑΙ ΟΡΘΑ"</formula>
    </cfRule>
    <cfRule type="cellIs" dxfId="20" priority="6" operator="equal">
      <formula>"ΥΠΑΡΧΟΥΝ ΛΑΘΗ"</formula>
    </cfRule>
  </conditionalFormatting>
  <conditionalFormatting sqref="C22">
    <cfRule type="cellIs" dxfId="19" priority="3" operator="equal">
      <formula>"ΤΑ ΣΤΟΙΧΕΙΑ ΕΙΝΑΙ ΟΡΘΑ"</formula>
    </cfRule>
    <cfRule type="cellIs" dxfId="18" priority="4" operator="equal">
      <formula>"ΥΠΑΡΧΟΥΝ ΛΑΘΗ"</formula>
    </cfRule>
  </conditionalFormatting>
  <dataValidations count="4">
    <dataValidation type="list" allowBlank="1" showInputMessage="1" showErrorMessage="1" sqref="C2" xr:uid="{00000000-0002-0000-0000-000000000000}">
      <formula1>Operators.</formula1>
    </dataValidation>
    <dataValidation type="list" allowBlank="1" showInputMessage="1" showErrorMessage="1" sqref="C5" xr:uid="{00000000-0002-0000-0000-000001000000}">
      <formula1>Semester</formula1>
    </dataValidation>
    <dataValidation type="whole" allowBlank="1" showInputMessage="1" showErrorMessage="1" sqref="C6" xr:uid="{00000000-0002-0000-0000-000002000000}">
      <formula1>1990</formula1>
      <formula2>2030</formula2>
    </dataValidation>
    <dataValidation type="list" allowBlank="1" showInputMessage="1" showErrorMessage="1" sqref="B16:B23" xr:uid="{00000000-0002-0000-0000-000003000000}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Z1048576"/>
  <sheetViews>
    <sheetView topLeftCell="A2" zoomScale="55" zoomScaleNormal="55" workbookViewId="0">
      <selection activeCell="H21" sqref="H21"/>
    </sheetView>
  </sheetViews>
  <sheetFormatPr defaultColWidth="9.109375" defaultRowHeight="14.4" zeroHeight="1" x14ac:dyDescent="0.3"/>
  <cols>
    <col min="1" max="1" width="50" style="170" customWidth="1"/>
    <col min="2" max="2" width="23" style="170" hidden="1" customWidth="1"/>
    <col min="3" max="3" width="17.5546875" style="170" customWidth="1"/>
    <col min="4" max="4" width="25.33203125" style="249" hidden="1" customWidth="1"/>
    <col min="5" max="5" width="37.109375" style="249" hidden="1" customWidth="1"/>
    <col min="6" max="6" width="38.109375" style="170" customWidth="1"/>
    <col min="7" max="7" width="19.88671875" style="170" customWidth="1"/>
    <col min="8" max="8" width="28.33203125" style="170" customWidth="1"/>
    <col min="9" max="9" width="16.33203125" style="170" hidden="1" customWidth="1"/>
    <col min="10" max="10" width="36.109375" style="170" customWidth="1"/>
    <col min="11" max="11" width="28.33203125" style="170" hidden="1" customWidth="1"/>
    <col min="12" max="12" width="13.5546875" style="170" customWidth="1"/>
    <col min="13" max="13" width="31.33203125" style="170" customWidth="1"/>
    <col min="14" max="14" width="12.33203125" style="249" hidden="1" customWidth="1"/>
    <col min="15" max="15" width="45.6640625" style="170" customWidth="1"/>
    <col min="16" max="17" width="31.33203125" style="170" customWidth="1"/>
    <col min="18" max="18" width="5.6640625" style="170" customWidth="1"/>
    <col min="19" max="19" width="16.109375" style="170" customWidth="1"/>
    <col min="20" max="20" width="70.109375" style="170" customWidth="1"/>
    <col min="21" max="26" width="9.109375" style="193" customWidth="1"/>
    <col min="27" max="16384" width="9.109375" style="170"/>
  </cols>
  <sheetData>
    <row r="1" spans="1:25" ht="15" hidden="1" thickBot="1" x14ac:dyDescent="0.35">
      <c r="A1" t="s">
        <v>505</v>
      </c>
      <c r="B1" t="s">
        <v>504</v>
      </c>
      <c r="C1" t="s">
        <v>506</v>
      </c>
      <c r="D1" s="226" t="s">
        <v>905</v>
      </c>
      <c r="E1" s="226" t="s">
        <v>906</v>
      </c>
      <c r="F1" s="2" t="s">
        <v>509</v>
      </c>
      <c r="G1" t="s">
        <v>524</v>
      </c>
      <c r="H1" t="s">
        <v>519</v>
      </c>
      <c r="I1" t="s">
        <v>525</v>
      </c>
      <c r="J1" t="s">
        <v>519</v>
      </c>
      <c r="K1" t="s">
        <v>526</v>
      </c>
      <c r="L1" t="s">
        <v>527</v>
      </c>
      <c r="M1" s="225" t="s">
        <v>519</v>
      </c>
      <c r="N1" s="228" t="s">
        <v>528</v>
      </c>
      <c r="O1" s="25" t="s">
        <v>529</v>
      </c>
      <c r="P1" s="25" t="s">
        <v>537</v>
      </c>
      <c r="Q1" s="25" t="s">
        <v>512</v>
      </c>
      <c r="S1" s="25" t="s">
        <v>519</v>
      </c>
      <c r="T1" s="25" t="s">
        <v>519</v>
      </c>
    </row>
    <row r="2" spans="1:25" ht="95.25" customHeight="1" thickBot="1" x14ac:dyDescent="0.35">
      <c r="A2" s="3" t="s">
        <v>422</v>
      </c>
      <c r="B2" s="4" t="s">
        <v>28</v>
      </c>
      <c r="C2" s="4" t="s">
        <v>433</v>
      </c>
      <c r="D2" s="227"/>
      <c r="E2" s="227"/>
      <c r="F2" s="4" t="s">
        <v>547</v>
      </c>
      <c r="G2" s="4" t="s">
        <v>464</v>
      </c>
      <c r="H2" s="4" t="s">
        <v>559</v>
      </c>
      <c r="I2" s="4" t="s">
        <v>561</v>
      </c>
      <c r="J2" s="82" t="s">
        <v>572</v>
      </c>
      <c r="K2" s="4" t="s">
        <v>562</v>
      </c>
      <c r="L2" s="304" t="s">
        <v>571</v>
      </c>
      <c r="M2" s="4" t="s">
        <v>560</v>
      </c>
      <c r="N2" s="227" t="s">
        <v>560</v>
      </c>
      <c r="O2" s="4" t="s">
        <v>466</v>
      </c>
      <c r="P2" s="82" t="s">
        <v>467</v>
      </c>
      <c r="Q2" s="23" t="s">
        <v>421</v>
      </c>
      <c r="S2" s="47" t="s">
        <v>452</v>
      </c>
      <c r="T2" s="142" t="s">
        <v>452</v>
      </c>
    </row>
    <row r="3" spans="1:25" ht="15.6" thickTop="1" thickBot="1" x14ac:dyDescent="0.35">
      <c r="A3" s="40" t="s">
        <v>468</v>
      </c>
      <c r="B3" s="48" t="str">
        <f>ΓΕΝΙΚΑ!C4</f>
        <v>WIND</v>
      </c>
      <c r="C3" s="138" t="s">
        <v>435</v>
      </c>
      <c r="D3" s="231">
        <f>IF(S3="",IF(ΓΕΝΙΚΑ!$B$20="ΝΑΙ",15300,""),"")</f>
        <v>15300</v>
      </c>
      <c r="E3" s="268" t="str">
        <f>IF(ΓΕΝΙΚΑ!$B$20="ΝΑΙ","ΠΑΝΕΛΛΑΔΙΚΑ","")</f>
        <v>ΠΑΝΕΛΛΑΔΙΚΑ</v>
      </c>
      <c r="F3" s="41" t="s">
        <v>555</v>
      </c>
      <c r="G3" s="5">
        <v>50</v>
      </c>
      <c r="H3" s="139">
        <v>4.0599999999999996</v>
      </c>
      <c r="I3" s="246">
        <f>IF(ISNUMBER(H3),ROUND(H3,2),"N/A")</f>
        <v>4.0599999999999996</v>
      </c>
      <c r="J3" s="139">
        <v>5.93</v>
      </c>
      <c r="K3" s="143">
        <f>IF(ISNUMBER(J3),ROUND(J3,2),"N/A")</f>
        <v>5.93</v>
      </c>
      <c r="L3" s="41">
        <f>IF(AND(ISNUMBER(H3),ISNUMBER(J3)),ROUND(H3+J3,0),IF(ISNUMBER(H3),ROUND(H3,0),IF(ISNUMBER(J3),ROUND(J3,0),"N/A")))</f>
        <v>10</v>
      </c>
      <c r="M3" s="301"/>
      <c r="N3" s="243" t="str">
        <f>IF(ISNUMBER(M3),ROUND(M3,2),"")</f>
        <v/>
      </c>
      <c r="O3" s="288" t="s">
        <v>925</v>
      </c>
      <c r="P3" s="256" t="s">
        <v>925</v>
      </c>
      <c r="Q3" s="257" t="s">
        <v>925</v>
      </c>
      <c r="S3" s="130" t="str">
        <f>IF(T3="","","ΣΦΑΛΜΑ")</f>
        <v/>
      </c>
      <c r="T3" s="191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193" t="s">
        <v>575</v>
      </c>
      <c r="V3" s="193" t="s">
        <v>576</v>
      </c>
      <c r="W3" s="193" t="s">
        <v>577</v>
      </c>
      <c r="X3" s="193" t="s">
        <v>578</v>
      </c>
      <c r="Y3" s="193" t="s">
        <v>579</v>
      </c>
    </row>
    <row r="4" spans="1:25" x14ac:dyDescent="0.3">
      <c r="A4" s="42" t="str">
        <f t="shared" ref="A4:A30" si="0">A$3</f>
        <v>B05</v>
      </c>
      <c r="B4" s="286" t="str">
        <f>B$3</f>
        <v>WIND</v>
      </c>
      <c r="C4" s="39" t="str">
        <f t="shared" ref="C4:C30" si="1">$C$3</f>
        <v>Έμμεση</v>
      </c>
      <c r="D4" s="219">
        <f>IF(S4="",IF(ΓΕΝΙΚΑ!$B$20="ΝΑΙ",14664,""),"")</f>
        <v>14664</v>
      </c>
      <c r="E4" s="269" t="str">
        <f>IF(ΓΕΝΙΚΑ!$B$20="ΝΑΙ","Π. ΑΝΑΤΟΛΙΚΗΣ ΜΑΚΕΔΟΝΙΑΣ - ΘΡΑΚΗΣ","")</f>
        <v>Π. ΑΝΑΤΟΛΙΚΗΣ ΜΑΚΕΔΟΝΙΑΣ - ΘΡΑΚΗΣ</v>
      </c>
      <c r="F4" s="24" t="s">
        <v>39</v>
      </c>
      <c r="G4" s="24">
        <v>50</v>
      </c>
      <c r="H4" s="140">
        <v>3.22</v>
      </c>
      <c r="I4" s="246">
        <f t="shared" ref="I4:I30" si="2">IF(ISNUMBER(H4),ROUND(H4,2),"N/A")</f>
        <v>3.22</v>
      </c>
      <c r="J4" s="140">
        <v>5.78</v>
      </c>
      <c r="K4" s="246">
        <f t="shared" ref="K4:K30" si="3">IF(ISNUMBER(J4),ROUND(J4,2),"N/A")</f>
        <v>5.78</v>
      </c>
      <c r="L4" s="7">
        <f t="shared" ref="L4:L30" si="4">IF(AND(ISNUMBER(H4),ISNUMBER(J4)),ROUND(H4+J4,0),IF(ISNUMBER(H4),ROUND(H4,0),IF(ISNUMBER(J4),ROUND(J4,0),"N/A")))</f>
        <v>9</v>
      </c>
      <c r="M4" s="302"/>
      <c r="N4" s="255" t="str">
        <f t="shared" ref="N4:N16" si="5">IF(ISNUMBER(M4),ROUND(M4,2),"")</f>
        <v/>
      </c>
      <c r="O4" s="261" t="str">
        <f>O$3</f>
        <v/>
      </c>
      <c r="P4" s="262" t="str">
        <f t="shared" ref="P4:Q30" si="6">P$3</f>
        <v/>
      </c>
      <c r="Q4" s="263" t="str">
        <f t="shared" si="6"/>
        <v/>
      </c>
      <c r="S4" s="130" t="str">
        <f t="shared" ref="S4:S30" si="7">IF(T4="","","ΣΦΑΛΜΑ")</f>
        <v/>
      </c>
      <c r="T4" s="191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193" t="s">
        <v>575</v>
      </c>
      <c r="V4" s="193" t="s">
        <v>576</v>
      </c>
      <c r="W4" s="193" t="s">
        <v>577</v>
      </c>
      <c r="X4" s="193" t="s">
        <v>578</v>
      </c>
      <c r="Y4" s="193" t="s">
        <v>579</v>
      </c>
    </row>
    <row r="5" spans="1:25" x14ac:dyDescent="0.3">
      <c r="A5" s="42" t="str">
        <f t="shared" si="0"/>
        <v>B05</v>
      </c>
      <c r="B5" s="286" t="str">
        <f t="shared" ref="B5:B30" si="8">B$3</f>
        <v>WIND</v>
      </c>
      <c r="C5" s="39" t="str">
        <f t="shared" si="1"/>
        <v>Έμμεση</v>
      </c>
      <c r="D5" s="232">
        <f>IF(S5="",IF(ΓΕΝΙΚΑ!$B$20="ΝΑΙ",14666,""),"")</f>
        <v>14666</v>
      </c>
      <c r="E5" s="270" t="str">
        <f>IF(ΓΕΝΙΚΑ!$B$20="ΝΑΙ","Π. ΑΤΤΙΚΗΣ","")</f>
        <v>Π. ΑΤΤΙΚΗΣ</v>
      </c>
      <c r="F5" s="7" t="s">
        <v>40</v>
      </c>
      <c r="G5" s="7">
        <v>50</v>
      </c>
      <c r="H5" s="140">
        <v>4.13</v>
      </c>
      <c r="I5" s="246">
        <f t="shared" si="2"/>
        <v>4.13</v>
      </c>
      <c r="J5" s="140">
        <v>5.87</v>
      </c>
      <c r="K5" s="246">
        <f t="shared" si="3"/>
        <v>5.87</v>
      </c>
      <c r="L5" s="7">
        <f t="shared" si="4"/>
        <v>10</v>
      </c>
      <c r="M5" s="302"/>
      <c r="N5" s="255" t="str">
        <f t="shared" si="5"/>
        <v/>
      </c>
      <c r="O5" s="261" t="str">
        <f t="shared" ref="O5:O30" si="9">O$3</f>
        <v/>
      </c>
      <c r="P5" s="262" t="str">
        <f t="shared" si="6"/>
        <v/>
      </c>
      <c r="Q5" s="263" t="str">
        <f t="shared" si="6"/>
        <v/>
      </c>
      <c r="S5" s="130" t="str">
        <f t="shared" si="7"/>
        <v/>
      </c>
      <c r="T5" s="191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193" t="s">
        <v>575</v>
      </c>
      <c r="V5" s="193" t="s">
        <v>576</v>
      </c>
      <c r="W5" s="193" t="s">
        <v>577</v>
      </c>
      <c r="X5" s="193" t="s">
        <v>578</v>
      </c>
      <c r="Y5" s="193" t="s">
        <v>579</v>
      </c>
    </row>
    <row r="6" spans="1:25" x14ac:dyDescent="0.3">
      <c r="A6" s="42" t="str">
        <f t="shared" si="0"/>
        <v>B05</v>
      </c>
      <c r="B6" s="286" t="str">
        <f t="shared" si="8"/>
        <v>WIND</v>
      </c>
      <c r="C6" s="39" t="str">
        <f t="shared" si="1"/>
        <v>Έμμεση</v>
      </c>
      <c r="D6" s="219">
        <f>IF(S3="",IF(ΓΕΝΙΚΑ!$B$20="ΝΑΙ",14668,""),"")</f>
        <v>14668</v>
      </c>
      <c r="E6" s="269" t="str">
        <f>IF(ΓΕΝΙΚΑ!$B$20="ΝΑΙ","Π. ΒΟΡΕΙΟΥ ΑΙΓΑΙΟΥ","")</f>
        <v>Π. ΒΟΡΕΙΟΥ ΑΙΓΑΙΟΥ</v>
      </c>
      <c r="F6" s="24" t="s">
        <v>404</v>
      </c>
      <c r="G6" s="24">
        <v>50</v>
      </c>
      <c r="H6" s="140">
        <v>2.78</v>
      </c>
      <c r="I6" s="246">
        <f t="shared" si="2"/>
        <v>2.78</v>
      </c>
      <c r="J6" s="140">
        <v>6.22</v>
      </c>
      <c r="K6" s="246">
        <f t="shared" si="3"/>
        <v>6.22</v>
      </c>
      <c r="L6" s="7">
        <f t="shared" si="4"/>
        <v>9</v>
      </c>
      <c r="M6" s="302"/>
      <c r="N6" s="255" t="str">
        <f t="shared" si="5"/>
        <v/>
      </c>
      <c r="O6" s="261" t="str">
        <f t="shared" si="9"/>
        <v/>
      </c>
      <c r="P6" s="262" t="str">
        <f t="shared" si="6"/>
        <v/>
      </c>
      <c r="Q6" s="263" t="str">
        <f t="shared" si="6"/>
        <v/>
      </c>
      <c r="S6" s="130" t="str">
        <f t="shared" si="7"/>
        <v/>
      </c>
      <c r="T6" s="191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193" t="s">
        <v>575</v>
      </c>
      <c r="V6" s="193" t="s">
        <v>576</v>
      </c>
      <c r="W6" s="193" t="s">
        <v>577</v>
      </c>
      <c r="X6" s="193" t="s">
        <v>578</v>
      </c>
      <c r="Y6" s="193" t="s">
        <v>579</v>
      </c>
    </row>
    <row r="7" spans="1:25" x14ac:dyDescent="0.3">
      <c r="A7" s="42" t="str">
        <f t="shared" si="0"/>
        <v>B05</v>
      </c>
      <c r="B7" s="286" t="str">
        <f t="shared" si="8"/>
        <v>WIND</v>
      </c>
      <c r="C7" s="39" t="str">
        <f t="shared" si="1"/>
        <v>Έμμεση</v>
      </c>
      <c r="D7" s="232">
        <f>IF(S7="",IF(ΓΕΝΙΚΑ!$B$20="ΝΑΙ",14670,""),"")</f>
        <v>14670</v>
      </c>
      <c r="E7" s="270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40">
        <v>3.01</v>
      </c>
      <c r="I7" s="246">
        <f t="shared" si="2"/>
        <v>3.01</v>
      </c>
      <c r="J7" s="140">
        <v>5.99</v>
      </c>
      <c r="K7" s="246">
        <f t="shared" si="3"/>
        <v>5.99</v>
      </c>
      <c r="L7" s="7">
        <f t="shared" si="4"/>
        <v>9</v>
      </c>
      <c r="M7" s="302"/>
      <c r="N7" s="255" t="str">
        <f t="shared" si="5"/>
        <v/>
      </c>
      <c r="O7" s="261" t="str">
        <f t="shared" si="9"/>
        <v/>
      </c>
      <c r="P7" s="262" t="str">
        <f t="shared" si="6"/>
        <v/>
      </c>
      <c r="Q7" s="263" t="str">
        <f t="shared" si="6"/>
        <v/>
      </c>
      <c r="S7" s="130" t="str">
        <f t="shared" si="7"/>
        <v/>
      </c>
      <c r="T7" s="191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193" t="s">
        <v>575</v>
      </c>
      <c r="V7" s="193" t="s">
        <v>576</v>
      </c>
      <c r="W7" s="193" t="s">
        <v>577</v>
      </c>
      <c r="X7" s="193" t="s">
        <v>578</v>
      </c>
      <c r="Y7" s="193" t="s">
        <v>579</v>
      </c>
    </row>
    <row r="8" spans="1:25" x14ac:dyDescent="0.3">
      <c r="A8" s="42" t="str">
        <f t="shared" si="0"/>
        <v>B05</v>
      </c>
      <c r="B8" s="286" t="str">
        <f t="shared" si="8"/>
        <v>WIND</v>
      </c>
      <c r="C8" s="39" t="str">
        <f t="shared" si="1"/>
        <v>Έμμεση</v>
      </c>
      <c r="D8" s="219">
        <f>IF(S8="",IF(ΓΕΝΙΚΑ!$B$20="ΝΑΙ",14672,""),"")</f>
        <v>14672</v>
      </c>
      <c r="E8" s="269" t="str">
        <f>IF(ΓΕΝΙΚΑ!$B$20="ΝΑΙ","Π. ΔΥΤΙΚΗΣ ΜΑΚΕΔΟΝΙΑΣ","")</f>
        <v>Π. ΔΥΤΙΚΗΣ ΜΑΚΕΔΟΝΙΑΣ</v>
      </c>
      <c r="F8" s="24" t="s">
        <v>406</v>
      </c>
      <c r="G8" s="24">
        <v>50</v>
      </c>
      <c r="H8" s="140">
        <v>2.82</v>
      </c>
      <c r="I8" s="246">
        <f t="shared" si="2"/>
        <v>2.82</v>
      </c>
      <c r="J8" s="140">
        <v>7.18</v>
      </c>
      <c r="K8" s="246">
        <f t="shared" si="3"/>
        <v>7.18</v>
      </c>
      <c r="L8" s="7">
        <f t="shared" si="4"/>
        <v>10</v>
      </c>
      <c r="M8" s="302"/>
      <c r="N8" s="255" t="str">
        <f t="shared" si="5"/>
        <v/>
      </c>
      <c r="O8" s="261" t="str">
        <f t="shared" si="9"/>
        <v/>
      </c>
      <c r="P8" s="262" t="str">
        <f t="shared" si="6"/>
        <v/>
      </c>
      <c r="Q8" s="263" t="str">
        <f t="shared" si="6"/>
        <v/>
      </c>
      <c r="S8" s="130" t="str">
        <f t="shared" si="7"/>
        <v/>
      </c>
      <c r="T8" s="191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193" t="s">
        <v>575</v>
      </c>
      <c r="V8" s="193" t="s">
        <v>576</v>
      </c>
      <c r="W8" s="193" t="s">
        <v>577</v>
      </c>
      <c r="X8" s="193" t="s">
        <v>578</v>
      </c>
      <c r="Y8" s="193" t="s">
        <v>579</v>
      </c>
    </row>
    <row r="9" spans="1:25" x14ac:dyDescent="0.3">
      <c r="A9" s="42" t="str">
        <f t="shared" si="0"/>
        <v>B05</v>
      </c>
      <c r="B9" s="286" t="str">
        <f t="shared" si="8"/>
        <v>WIND</v>
      </c>
      <c r="C9" s="39" t="str">
        <f t="shared" si="1"/>
        <v>Έμμεση</v>
      </c>
      <c r="D9" s="232">
        <f>IF(S9="",IF(ΓΕΝΙΚΑ!$B$20="ΝΑΙ",14674,""),"")</f>
        <v>14674</v>
      </c>
      <c r="E9" s="270" t="str">
        <f>IF(ΓΕΝΙΚΑ!$B$20="ΝΑΙ","Π. ΗΠΕΙΡΟΥ","")</f>
        <v>Π. ΗΠΕΙΡΟΥ</v>
      </c>
      <c r="F9" s="7" t="s">
        <v>407</v>
      </c>
      <c r="G9" s="7">
        <v>50</v>
      </c>
      <c r="H9" s="140">
        <v>2.59</v>
      </c>
      <c r="I9" s="246">
        <f t="shared" si="2"/>
        <v>2.59</v>
      </c>
      <c r="J9" s="140">
        <v>6.41</v>
      </c>
      <c r="K9" s="246">
        <f t="shared" si="3"/>
        <v>6.41</v>
      </c>
      <c r="L9" s="7">
        <f t="shared" si="4"/>
        <v>9</v>
      </c>
      <c r="M9" s="302"/>
      <c r="N9" s="255" t="str">
        <f t="shared" si="5"/>
        <v/>
      </c>
      <c r="O9" s="261" t="str">
        <f t="shared" si="9"/>
        <v/>
      </c>
      <c r="P9" s="262" t="str">
        <f t="shared" si="6"/>
        <v/>
      </c>
      <c r="Q9" s="263" t="str">
        <f t="shared" si="6"/>
        <v/>
      </c>
      <c r="S9" s="130" t="str">
        <f t="shared" si="7"/>
        <v/>
      </c>
      <c r="T9" s="191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193" t="s">
        <v>575</v>
      </c>
      <c r="V9" s="193" t="s">
        <v>576</v>
      </c>
      <c r="W9" s="193" t="s">
        <v>577</v>
      </c>
      <c r="X9" s="193" t="s">
        <v>578</v>
      </c>
      <c r="Y9" s="193" t="s">
        <v>579</v>
      </c>
    </row>
    <row r="10" spans="1:25" x14ac:dyDescent="0.3">
      <c r="A10" s="42" t="str">
        <f t="shared" si="0"/>
        <v>B05</v>
      </c>
      <c r="B10" s="286" t="str">
        <f t="shared" si="8"/>
        <v>WIND</v>
      </c>
      <c r="C10" s="39" t="str">
        <f t="shared" si="1"/>
        <v>Έμμεση</v>
      </c>
      <c r="D10" s="219">
        <f>IF(S10="",IF(ΓΕΝΙΚΑ!$B$20="ΝΑΙ",14676,""),"")</f>
        <v>14676</v>
      </c>
      <c r="E10" s="269" t="str">
        <f>IF(ΓΕΝΙΚΑ!$B$20="ΝΑΙ","Π. ΘΕΣΣΑΛΙΑΣ","")</f>
        <v>Π. ΘΕΣΣΑΛΙΑΣ</v>
      </c>
      <c r="F10" s="24" t="s">
        <v>408</v>
      </c>
      <c r="G10" s="24">
        <v>50</v>
      </c>
      <c r="H10" s="140">
        <v>2.27</v>
      </c>
      <c r="I10" s="246">
        <f t="shared" si="2"/>
        <v>2.27</v>
      </c>
      <c r="J10" s="140">
        <v>5.73</v>
      </c>
      <c r="K10" s="246">
        <f t="shared" si="3"/>
        <v>5.73</v>
      </c>
      <c r="L10" s="7">
        <f t="shared" si="4"/>
        <v>8</v>
      </c>
      <c r="M10" s="302"/>
      <c r="N10" s="255" t="str">
        <f t="shared" si="5"/>
        <v/>
      </c>
      <c r="O10" s="261" t="str">
        <f t="shared" si="9"/>
        <v/>
      </c>
      <c r="P10" s="262" t="str">
        <f t="shared" si="6"/>
        <v/>
      </c>
      <c r="Q10" s="263" t="str">
        <f t="shared" si="6"/>
        <v/>
      </c>
      <c r="S10" s="130" t="str">
        <f t="shared" si="7"/>
        <v/>
      </c>
      <c r="T10" s="191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193" t="s">
        <v>575</v>
      </c>
      <c r="V10" s="193" t="s">
        <v>576</v>
      </c>
      <c r="W10" s="193" t="s">
        <v>577</v>
      </c>
      <c r="X10" s="193" t="s">
        <v>578</v>
      </c>
      <c r="Y10" s="193" t="s">
        <v>579</v>
      </c>
    </row>
    <row r="11" spans="1:25" x14ac:dyDescent="0.3">
      <c r="A11" s="42" t="str">
        <f t="shared" si="0"/>
        <v>B05</v>
      </c>
      <c r="B11" s="286" t="str">
        <f t="shared" si="8"/>
        <v>WIND</v>
      </c>
      <c r="C11" s="39" t="str">
        <f t="shared" si="1"/>
        <v>Έμμεση</v>
      </c>
      <c r="D11" s="232">
        <f>IF(S11="",IF(ΓΕΝΙΚΑ!$B$20="ΝΑΙ",14678,""),"")</f>
        <v>14678</v>
      </c>
      <c r="E11" s="270" t="str">
        <f>IF(ΓΕΝΙΚΑ!$B$20="ΝΑΙ","Π. ΙΟΝΙΩΝ ΝΗΣΩΝ","")</f>
        <v>Π. ΙΟΝΙΩΝ ΝΗΣΩΝ</v>
      </c>
      <c r="F11" s="7" t="s">
        <v>409</v>
      </c>
      <c r="G11" s="7">
        <v>50</v>
      </c>
      <c r="H11" s="140">
        <v>3.23</v>
      </c>
      <c r="I11" s="246">
        <f t="shared" si="2"/>
        <v>3.23</v>
      </c>
      <c r="J11" s="140">
        <v>5.77</v>
      </c>
      <c r="K11" s="246">
        <f t="shared" si="3"/>
        <v>5.77</v>
      </c>
      <c r="L11" s="7">
        <f t="shared" si="4"/>
        <v>9</v>
      </c>
      <c r="M11" s="302"/>
      <c r="N11" s="255" t="str">
        <f t="shared" si="5"/>
        <v/>
      </c>
      <c r="O11" s="261" t="str">
        <f t="shared" si="9"/>
        <v/>
      </c>
      <c r="P11" s="262" t="str">
        <f t="shared" si="6"/>
        <v/>
      </c>
      <c r="Q11" s="263" t="str">
        <f t="shared" si="6"/>
        <v/>
      </c>
      <c r="S11" s="130" t="str">
        <f t="shared" si="7"/>
        <v/>
      </c>
      <c r="T11" s="191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193" t="s">
        <v>575</v>
      </c>
      <c r="V11" s="193" t="s">
        <v>576</v>
      </c>
      <c r="W11" s="193" t="s">
        <v>577</v>
      </c>
      <c r="X11" s="193" t="s">
        <v>578</v>
      </c>
      <c r="Y11" s="193" t="s">
        <v>579</v>
      </c>
    </row>
    <row r="12" spans="1:25" x14ac:dyDescent="0.3">
      <c r="A12" s="42" t="str">
        <f t="shared" si="0"/>
        <v>B05</v>
      </c>
      <c r="B12" s="286" t="str">
        <f t="shared" si="8"/>
        <v>WIND</v>
      </c>
      <c r="C12" s="39" t="str">
        <f t="shared" si="1"/>
        <v>Έμμεση</v>
      </c>
      <c r="D12" s="219">
        <f>IF(S12="",IF(ΓΕΝΙΚΑ!$B$20="ΝΑΙ",14680,""),"")</f>
        <v>14680</v>
      </c>
      <c r="E12" s="269" t="str">
        <f>IF(ΓΕΝΙΚΑ!$B$20="ΝΑΙ","Π. ΚΕΝΤΡΙΚΗΣ ΜΑΚΕΔΟΝΙΑΣ","")</f>
        <v>Π. ΚΕΝΤΡΙΚΗΣ ΜΑΚΕΔΟΝΙΑΣ</v>
      </c>
      <c r="F12" s="24" t="s">
        <v>410</v>
      </c>
      <c r="G12" s="24">
        <v>50</v>
      </c>
      <c r="H12" s="140">
        <v>5.54</v>
      </c>
      <c r="I12" s="246">
        <f t="shared" si="2"/>
        <v>5.54</v>
      </c>
      <c r="J12" s="140">
        <v>5.46</v>
      </c>
      <c r="K12" s="246">
        <f t="shared" si="3"/>
        <v>5.46</v>
      </c>
      <c r="L12" s="7">
        <f t="shared" si="4"/>
        <v>11</v>
      </c>
      <c r="M12" s="302"/>
      <c r="N12" s="255" t="str">
        <f t="shared" si="5"/>
        <v/>
      </c>
      <c r="O12" s="261" t="str">
        <f t="shared" si="9"/>
        <v/>
      </c>
      <c r="P12" s="262" t="str">
        <f t="shared" si="6"/>
        <v/>
      </c>
      <c r="Q12" s="263" t="str">
        <f t="shared" si="6"/>
        <v/>
      </c>
      <c r="S12" s="130" t="str">
        <f t="shared" si="7"/>
        <v/>
      </c>
      <c r="T12" s="191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193" t="s">
        <v>575</v>
      </c>
      <c r="V12" s="193" t="s">
        <v>576</v>
      </c>
      <c r="W12" s="193" t="s">
        <v>577</v>
      </c>
      <c r="X12" s="193" t="s">
        <v>578</v>
      </c>
      <c r="Y12" s="193" t="s">
        <v>579</v>
      </c>
    </row>
    <row r="13" spans="1:25" x14ac:dyDescent="0.3">
      <c r="A13" s="42" t="str">
        <f t="shared" si="0"/>
        <v>B05</v>
      </c>
      <c r="B13" s="286" t="str">
        <f t="shared" si="8"/>
        <v>WIND</v>
      </c>
      <c r="C13" s="39" t="str">
        <f t="shared" si="1"/>
        <v>Έμμεση</v>
      </c>
      <c r="D13" s="232">
        <f>IF(S13="",IF(ΓΕΝΙΚΑ!$B$20="ΝΑΙ",14682,""),"")</f>
        <v>14682</v>
      </c>
      <c r="E13" s="270" t="str">
        <f>IF(ΓΕΝΙΚΑ!$B$20="ΝΑΙ","Π. ΚΡΗΤΗΣ","")</f>
        <v>Π. ΚΡΗΤΗΣ</v>
      </c>
      <c r="F13" s="7" t="s">
        <v>411</v>
      </c>
      <c r="G13" s="7">
        <v>50</v>
      </c>
      <c r="H13" s="140">
        <v>3.98</v>
      </c>
      <c r="I13" s="246">
        <f t="shared" si="2"/>
        <v>3.98</v>
      </c>
      <c r="J13" s="140">
        <v>5.0199999999999996</v>
      </c>
      <c r="K13" s="246">
        <f t="shared" si="3"/>
        <v>5.0199999999999996</v>
      </c>
      <c r="L13" s="7">
        <f t="shared" si="4"/>
        <v>9</v>
      </c>
      <c r="M13" s="302"/>
      <c r="N13" s="255" t="str">
        <f t="shared" si="5"/>
        <v/>
      </c>
      <c r="O13" s="261" t="str">
        <f t="shared" si="9"/>
        <v/>
      </c>
      <c r="P13" s="262" t="str">
        <f t="shared" si="6"/>
        <v/>
      </c>
      <c r="Q13" s="263" t="str">
        <f t="shared" si="6"/>
        <v/>
      </c>
      <c r="S13" s="130" t="str">
        <f t="shared" si="7"/>
        <v/>
      </c>
      <c r="T13" s="191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193" t="s">
        <v>575</v>
      </c>
      <c r="V13" s="193" t="s">
        <v>576</v>
      </c>
      <c r="W13" s="193" t="s">
        <v>577</v>
      </c>
      <c r="X13" s="193" t="s">
        <v>578</v>
      </c>
      <c r="Y13" s="193" t="s">
        <v>579</v>
      </c>
    </row>
    <row r="14" spans="1:25" x14ac:dyDescent="0.3">
      <c r="A14" s="42" t="str">
        <f t="shared" si="0"/>
        <v>B05</v>
      </c>
      <c r="B14" s="286" t="str">
        <f t="shared" si="8"/>
        <v>WIND</v>
      </c>
      <c r="C14" s="39" t="str">
        <f t="shared" si="1"/>
        <v>Έμμεση</v>
      </c>
      <c r="D14" s="219">
        <f>IF(S14="",IF(ΓΕΝΙΚΑ!$B$20="ΝΑΙ",14684,""),"")</f>
        <v>14684</v>
      </c>
      <c r="E14" s="269" t="str">
        <f>IF(ΓΕΝΙΚΑ!$B$20="ΝΑΙ","Π. ΝΟΤΙΟΥ ΑΙΓΑΙΟΥ","")</f>
        <v>Π. ΝΟΤΙΟΥ ΑΙΓΑΙΟΥ</v>
      </c>
      <c r="F14" s="24" t="s">
        <v>412</v>
      </c>
      <c r="G14" s="24">
        <v>50</v>
      </c>
      <c r="H14" s="140">
        <v>3.81</v>
      </c>
      <c r="I14" s="246">
        <f t="shared" si="2"/>
        <v>3.81</v>
      </c>
      <c r="J14" s="140">
        <v>5.19</v>
      </c>
      <c r="K14" s="246">
        <f t="shared" si="3"/>
        <v>5.19</v>
      </c>
      <c r="L14" s="7">
        <f t="shared" si="4"/>
        <v>9</v>
      </c>
      <c r="M14" s="302"/>
      <c r="N14" s="255" t="str">
        <f t="shared" si="5"/>
        <v/>
      </c>
      <c r="O14" s="261" t="str">
        <f t="shared" si="9"/>
        <v/>
      </c>
      <c r="P14" s="262" t="str">
        <f t="shared" si="6"/>
        <v/>
      </c>
      <c r="Q14" s="263" t="str">
        <f t="shared" si="6"/>
        <v/>
      </c>
      <c r="S14" s="130" t="str">
        <f t="shared" si="7"/>
        <v/>
      </c>
      <c r="T14" s="191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193" t="s">
        <v>575</v>
      </c>
      <c r="V14" s="193" t="s">
        <v>576</v>
      </c>
      <c r="W14" s="193" t="s">
        <v>577</v>
      </c>
      <c r="X14" s="193" t="s">
        <v>578</v>
      </c>
      <c r="Y14" s="193" t="s">
        <v>579</v>
      </c>
    </row>
    <row r="15" spans="1:25" x14ac:dyDescent="0.3">
      <c r="A15" s="42" t="str">
        <f t="shared" si="0"/>
        <v>B05</v>
      </c>
      <c r="B15" s="286" t="str">
        <f t="shared" si="8"/>
        <v>WIND</v>
      </c>
      <c r="C15" s="39" t="str">
        <f t="shared" si="1"/>
        <v>Έμμεση</v>
      </c>
      <c r="D15" s="232">
        <f>IF(S15="",IF(ΓΕΝΙΚΑ!$B$20="ΝΑΙ",14686,""),"")</f>
        <v>14686</v>
      </c>
      <c r="E15" s="270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40">
        <v>2.23</v>
      </c>
      <c r="I15" s="246">
        <f t="shared" si="2"/>
        <v>2.23</v>
      </c>
      <c r="J15" s="140">
        <v>5.77</v>
      </c>
      <c r="K15" s="246">
        <f t="shared" si="3"/>
        <v>5.77</v>
      </c>
      <c r="L15" s="7">
        <f t="shared" si="4"/>
        <v>8</v>
      </c>
      <c r="M15" s="302"/>
      <c r="N15" s="255" t="str">
        <f t="shared" si="5"/>
        <v/>
      </c>
      <c r="O15" s="261" t="str">
        <f t="shared" si="9"/>
        <v/>
      </c>
      <c r="P15" s="262" t="str">
        <f t="shared" si="6"/>
        <v/>
      </c>
      <c r="Q15" s="263" t="str">
        <f t="shared" si="6"/>
        <v/>
      </c>
      <c r="S15" s="130" t="str">
        <f t="shared" si="7"/>
        <v/>
      </c>
      <c r="T15" s="191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193" t="s">
        <v>575</v>
      </c>
      <c r="V15" s="193" t="s">
        <v>576</v>
      </c>
      <c r="W15" s="193" t="s">
        <v>577</v>
      </c>
      <c r="X15" s="193" t="s">
        <v>578</v>
      </c>
      <c r="Y15" s="193" t="s">
        <v>579</v>
      </c>
    </row>
    <row r="16" spans="1:25" ht="15" thickBot="1" x14ac:dyDescent="0.35">
      <c r="A16" s="42" t="str">
        <f t="shared" si="0"/>
        <v>B05</v>
      </c>
      <c r="B16" s="286" t="str">
        <f t="shared" si="8"/>
        <v>WIND</v>
      </c>
      <c r="C16" s="39" t="str">
        <f t="shared" si="1"/>
        <v>Έμμεση</v>
      </c>
      <c r="D16" s="220">
        <f>IF(S16="",IF(ΓΕΝΙΚΑ!$B$20="ΝΑΙ",14688,""),"")</f>
        <v>14688</v>
      </c>
      <c r="E16" s="271" t="str">
        <f>IF(ΓΕΝΙΚΑ!$B$20="ΝΑΙ","Π. ΣΤΕΡΕΑΣ ΕΛΛΑΔΑΣ","")</f>
        <v>Π. ΣΤΕΡΕΑΣ ΕΛΛΑΔΑΣ</v>
      </c>
      <c r="F16" s="35" t="s">
        <v>414</v>
      </c>
      <c r="G16" s="35">
        <v>50</v>
      </c>
      <c r="H16" s="141">
        <v>3.07</v>
      </c>
      <c r="I16" s="246">
        <f t="shared" si="2"/>
        <v>3.07</v>
      </c>
      <c r="J16" s="141">
        <v>5.93</v>
      </c>
      <c r="K16" s="246">
        <f t="shared" si="3"/>
        <v>5.93</v>
      </c>
      <c r="L16" s="6">
        <f t="shared" si="4"/>
        <v>9</v>
      </c>
      <c r="M16" s="303"/>
      <c r="N16" s="255" t="str">
        <f t="shared" si="5"/>
        <v/>
      </c>
      <c r="O16" s="261" t="str">
        <f t="shared" si="9"/>
        <v/>
      </c>
      <c r="P16" s="262" t="str">
        <f t="shared" si="6"/>
        <v/>
      </c>
      <c r="Q16" s="263" t="str">
        <f t="shared" si="6"/>
        <v/>
      </c>
      <c r="S16" s="130" t="str">
        <f t="shared" si="7"/>
        <v/>
      </c>
      <c r="T16" s="191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193" t="s">
        <v>575</v>
      </c>
      <c r="V16" s="193" t="s">
        <v>576</v>
      </c>
      <c r="W16" s="193" t="s">
        <v>577</v>
      </c>
      <c r="X16" s="193" t="s">
        <v>578</v>
      </c>
      <c r="Y16" s="193" t="s">
        <v>579</v>
      </c>
    </row>
    <row r="17" spans="1:20" x14ac:dyDescent="0.3">
      <c r="A17" s="42" t="str">
        <f t="shared" si="0"/>
        <v>B05</v>
      </c>
      <c r="B17" s="286" t="str">
        <f t="shared" si="8"/>
        <v>WIND</v>
      </c>
      <c r="C17" s="39" t="str">
        <f t="shared" si="1"/>
        <v>Έμμεση</v>
      </c>
      <c r="D17" s="231">
        <f>IF(S17="",IF(ΓΕΝΙΚΑ!$B$20="ΝΑΙ",15300,""),"")</f>
        <v>15300</v>
      </c>
      <c r="E17" s="272" t="str">
        <f>IF(ΓΕΝΙΚΑ!$B$20="ΝΑΙ","ΠΑΝΕΛΛΑΔΙΚΑ","")</f>
        <v>ΠΑΝΕΛΛΑΔΙΚΑ</v>
      </c>
      <c r="F17" s="8" t="s">
        <v>555</v>
      </c>
      <c r="G17" s="5">
        <v>95</v>
      </c>
      <c r="H17" s="139">
        <v>21.92</v>
      </c>
      <c r="I17" s="246">
        <f t="shared" si="2"/>
        <v>21.92</v>
      </c>
      <c r="J17" s="139">
        <v>28.07</v>
      </c>
      <c r="K17" s="246">
        <f t="shared" si="3"/>
        <v>28.07</v>
      </c>
      <c r="L17" s="5">
        <f t="shared" si="4"/>
        <v>50</v>
      </c>
      <c r="M17" s="34">
        <f>M3</f>
        <v>0</v>
      </c>
      <c r="N17" s="229" t="str">
        <f>N3</f>
        <v/>
      </c>
      <c r="O17" s="262" t="str">
        <f t="shared" si="9"/>
        <v/>
      </c>
      <c r="P17" s="262" t="str">
        <f t="shared" si="6"/>
        <v/>
      </c>
      <c r="Q17" s="263" t="str">
        <f t="shared" si="6"/>
        <v/>
      </c>
      <c r="S17" s="130" t="str">
        <f t="shared" si="7"/>
        <v/>
      </c>
      <c r="T17" s="191" t="str">
        <f>IF(L17="",U3,"")</f>
        <v/>
      </c>
    </row>
    <row r="18" spans="1:20" x14ac:dyDescent="0.3">
      <c r="A18" s="42" t="str">
        <f t="shared" si="0"/>
        <v>B05</v>
      </c>
      <c r="B18" s="286" t="str">
        <f t="shared" si="8"/>
        <v>WIND</v>
      </c>
      <c r="C18" s="39" t="str">
        <f t="shared" si="1"/>
        <v>Έμμεση</v>
      </c>
      <c r="D18" s="219">
        <f>IF(S18="",IF(ΓΕΝΙΚΑ!$B$20="ΝΑΙ",14664,""),"")</f>
        <v>14664</v>
      </c>
      <c r="E18" s="269" t="str">
        <f>IF(ΓΕΝΙΚΑ!$B$20="ΝΑΙ","Π. ΑΝΑΤΟΛΙΚΗΣ ΜΑΚΕΔΟΝΙΑΣ - ΘΡΑΚΗΣ","")</f>
        <v>Π. ΑΝΑΤΟΛΙΚΗΣ ΜΑΚΕΔΟΝΙΑΣ - ΘΡΑΚΗΣ</v>
      </c>
      <c r="F18" s="24" t="s">
        <v>39</v>
      </c>
      <c r="G18" s="24">
        <v>95</v>
      </c>
      <c r="H18" s="140">
        <v>25.68</v>
      </c>
      <c r="I18" s="246">
        <f t="shared" si="2"/>
        <v>25.68</v>
      </c>
      <c r="J18" s="140">
        <v>33.32</v>
      </c>
      <c r="K18" s="246">
        <f t="shared" si="3"/>
        <v>33.32</v>
      </c>
      <c r="L18" s="7">
        <f t="shared" si="4"/>
        <v>59</v>
      </c>
      <c r="M18" s="34">
        <f>M4</f>
        <v>0</v>
      </c>
      <c r="N18" s="229" t="str">
        <f t="shared" ref="N18:N30" si="10">N4</f>
        <v/>
      </c>
      <c r="O18" s="262" t="str">
        <f t="shared" si="9"/>
        <v/>
      </c>
      <c r="P18" s="262" t="str">
        <f t="shared" si="6"/>
        <v/>
      </c>
      <c r="Q18" s="263" t="str">
        <f t="shared" si="6"/>
        <v/>
      </c>
      <c r="S18" s="130" t="str">
        <f t="shared" si="7"/>
        <v/>
      </c>
      <c r="T18" s="191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x14ac:dyDescent="0.3">
      <c r="A19" s="42" t="str">
        <f t="shared" si="0"/>
        <v>B05</v>
      </c>
      <c r="B19" s="286" t="str">
        <f t="shared" si="8"/>
        <v>WIND</v>
      </c>
      <c r="C19" s="39" t="str">
        <f t="shared" si="1"/>
        <v>Έμμεση</v>
      </c>
      <c r="D19" s="232">
        <f>IF(S19="",IF(ΓΕΝΙΚΑ!$B$20="ΝΑΙ",14666,""),"")</f>
        <v>14666</v>
      </c>
      <c r="E19" s="270" t="str">
        <f>IF(ΓΕΝΙΚΑ!$B$20="ΝΑΙ","Π. ΑΤΤΙΚΗΣ","")</f>
        <v>Π. ΑΤΤΙΚΗΣ</v>
      </c>
      <c r="F19" s="7" t="s">
        <v>40</v>
      </c>
      <c r="G19" s="7">
        <v>95</v>
      </c>
      <c r="H19" s="140">
        <v>21.04</v>
      </c>
      <c r="I19" s="246">
        <f t="shared" si="2"/>
        <v>21.04</v>
      </c>
      <c r="J19" s="140">
        <v>25.96</v>
      </c>
      <c r="K19" s="246">
        <f t="shared" si="3"/>
        <v>25.96</v>
      </c>
      <c r="L19" s="7">
        <f t="shared" si="4"/>
        <v>47</v>
      </c>
      <c r="M19" s="34">
        <f t="shared" ref="M19:M30" si="11">M5</f>
        <v>0</v>
      </c>
      <c r="N19" s="229" t="str">
        <f t="shared" si="10"/>
        <v/>
      </c>
      <c r="O19" s="262" t="str">
        <f t="shared" si="9"/>
        <v/>
      </c>
      <c r="P19" s="262" t="str">
        <f t="shared" si="6"/>
        <v/>
      </c>
      <c r="Q19" s="263" t="str">
        <f t="shared" si="6"/>
        <v/>
      </c>
      <c r="S19" s="130" t="str">
        <f t="shared" si="7"/>
        <v/>
      </c>
      <c r="T19" s="191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x14ac:dyDescent="0.3">
      <c r="A20" s="42" t="str">
        <f t="shared" si="0"/>
        <v>B05</v>
      </c>
      <c r="B20" s="286" t="str">
        <f t="shared" si="8"/>
        <v>WIND</v>
      </c>
      <c r="C20" s="39" t="str">
        <f t="shared" si="1"/>
        <v>Έμμεση</v>
      </c>
      <c r="D20" s="219">
        <f>IF(S17="",IF(ΓΕΝΙΚΑ!$B$20="ΝΑΙ",14668,""),"")</f>
        <v>14668</v>
      </c>
      <c r="E20" s="269" t="str">
        <f>IF(ΓΕΝΙΚΑ!$B$20="ΝΑΙ","Π. ΒΟΡΕΙΟΥ ΑΙΓΑΙΟΥ","")</f>
        <v>Π. ΒΟΡΕΙΟΥ ΑΙΓΑΙΟΥ</v>
      </c>
      <c r="F20" s="24" t="s">
        <v>404</v>
      </c>
      <c r="G20" s="24">
        <v>95</v>
      </c>
      <c r="H20" s="140">
        <v>12.72</v>
      </c>
      <c r="I20" s="246">
        <f t="shared" si="2"/>
        <v>12.72</v>
      </c>
      <c r="J20" s="140">
        <v>19.28</v>
      </c>
      <c r="K20" s="246">
        <f t="shared" si="3"/>
        <v>19.28</v>
      </c>
      <c r="L20" s="7">
        <f t="shared" si="4"/>
        <v>32</v>
      </c>
      <c r="M20" s="34">
        <f t="shared" si="11"/>
        <v>0</v>
      </c>
      <c r="N20" s="229" t="str">
        <f t="shared" si="10"/>
        <v/>
      </c>
      <c r="O20" s="262" t="str">
        <f t="shared" si="9"/>
        <v/>
      </c>
      <c r="P20" s="262" t="str">
        <f t="shared" si="6"/>
        <v/>
      </c>
      <c r="Q20" s="263" t="str">
        <f t="shared" si="6"/>
        <v/>
      </c>
      <c r="S20" s="130" t="str">
        <f t="shared" si="7"/>
        <v/>
      </c>
      <c r="T20" s="191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x14ac:dyDescent="0.3">
      <c r="A21" s="42" t="str">
        <f t="shared" si="0"/>
        <v>B05</v>
      </c>
      <c r="B21" s="286" t="str">
        <f t="shared" si="8"/>
        <v>WIND</v>
      </c>
      <c r="C21" s="39" t="str">
        <f t="shared" si="1"/>
        <v>Έμμεση</v>
      </c>
      <c r="D21" s="232">
        <f>IF(S21="",IF(ΓΕΝΙΚΑ!$B$20="ΝΑΙ",14670,""),"")</f>
        <v>14670</v>
      </c>
      <c r="E21" s="270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40">
        <v>21.69</v>
      </c>
      <c r="I21" s="246">
        <f t="shared" si="2"/>
        <v>21.69</v>
      </c>
      <c r="J21" s="140">
        <v>31.31</v>
      </c>
      <c r="K21" s="246">
        <f t="shared" si="3"/>
        <v>31.31</v>
      </c>
      <c r="L21" s="7">
        <f t="shared" si="4"/>
        <v>53</v>
      </c>
      <c r="M21" s="34">
        <f t="shared" si="11"/>
        <v>0</v>
      </c>
      <c r="N21" s="229" t="str">
        <f t="shared" si="10"/>
        <v/>
      </c>
      <c r="O21" s="262" t="str">
        <f t="shared" si="9"/>
        <v/>
      </c>
      <c r="P21" s="262" t="str">
        <f t="shared" si="6"/>
        <v/>
      </c>
      <c r="Q21" s="263" t="str">
        <f t="shared" si="6"/>
        <v/>
      </c>
      <c r="S21" s="130" t="str">
        <f t="shared" si="7"/>
        <v/>
      </c>
      <c r="T21" s="191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x14ac:dyDescent="0.3">
      <c r="A22" s="42" t="str">
        <f t="shared" si="0"/>
        <v>B05</v>
      </c>
      <c r="B22" s="286" t="str">
        <f t="shared" si="8"/>
        <v>WIND</v>
      </c>
      <c r="C22" s="39" t="str">
        <f t="shared" si="1"/>
        <v>Έμμεση</v>
      </c>
      <c r="D22" s="219">
        <f>IF(S22="",IF(ΓΕΝΙΚΑ!$B$20="ΝΑΙ",14672,""),"")</f>
        <v>14672</v>
      </c>
      <c r="E22" s="269" t="str">
        <f>IF(ΓΕΝΙΚΑ!$B$20="ΝΑΙ","Π. ΔΥΤΙΚΗΣ ΜΑΚΕΔΟΝΙΑΣ","")</f>
        <v>Π. ΔΥΤΙΚΗΣ ΜΑΚΕΔΟΝΙΑΣ</v>
      </c>
      <c r="F22" s="24" t="s">
        <v>406</v>
      </c>
      <c r="G22" s="24">
        <v>95</v>
      </c>
      <c r="H22" s="140">
        <v>28.24</v>
      </c>
      <c r="I22" s="246">
        <f t="shared" si="2"/>
        <v>28.24</v>
      </c>
      <c r="J22" s="140">
        <v>50.76</v>
      </c>
      <c r="K22" s="246">
        <f t="shared" si="3"/>
        <v>50.76</v>
      </c>
      <c r="L22" s="7">
        <f t="shared" si="4"/>
        <v>79</v>
      </c>
      <c r="M22" s="34">
        <f t="shared" si="11"/>
        <v>0</v>
      </c>
      <c r="N22" s="229" t="str">
        <f t="shared" si="10"/>
        <v/>
      </c>
      <c r="O22" s="262" t="str">
        <f t="shared" si="9"/>
        <v/>
      </c>
      <c r="P22" s="262" t="str">
        <f t="shared" si="6"/>
        <v/>
      </c>
      <c r="Q22" s="263" t="str">
        <f t="shared" si="6"/>
        <v/>
      </c>
      <c r="S22" s="130" t="str">
        <f t="shared" si="7"/>
        <v/>
      </c>
      <c r="T22" s="191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x14ac:dyDescent="0.3">
      <c r="A23" s="42" t="str">
        <f t="shared" si="0"/>
        <v>B05</v>
      </c>
      <c r="B23" s="286" t="str">
        <f t="shared" si="8"/>
        <v>WIND</v>
      </c>
      <c r="C23" s="39" t="str">
        <f t="shared" si="1"/>
        <v>Έμμεση</v>
      </c>
      <c r="D23" s="232">
        <f>IF(S23="",IF(ΓΕΝΙΚΑ!$B$20="ΝΑΙ",14674,""),"")</f>
        <v>14674</v>
      </c>
      <c r="E23" s="270" t="str">
        <f>IF(ΓΕΝΙΚΑ!$B$20="ΝΑΙ","Π. ΗΠΕΙΡΟΥ","")</f>
        <v>Π. ΗΠΕΙΡΟΥ</v>
      </c>
      <c r="F23" s="7" t="s">
        <v>407</v>
      </c>
      <c r="G23" s="7">
        <v>95</v>
      </c>
      <c r="H23" s="140">
        <v>9.65</v>
      </c>
      <c r="I23" s="246">
        <f t="shared" si="2"/>
        <v>9.65</v>
      </c>
      <c r="J23" s="140">
        <v>19.350000000000001</v>
      </c>
      <c r="K23" s="246">
        <f t="shared" si="3"/>
        <v>19.350000000000001</v>
      </c>
      <c r="L23" s="7">
        <f t="shared" si="4"/>
        <v>29</v>
      </c>
      <c r="M23" s="34">
        <f t="shared" si="11"/>
        <v>0</v>
      </c>
      <c r="N23" s="229" t="str">
        <f t="shared" si="10"/>
        <v/>
      </c>
      <c r="O23" s="262" t="str">
        <f t="shared" si="9"/>
        <v/>
      </c>
      <c r="P23" s="262" t="str">
        <f t="shared" si="6"/>
        <v/>
      </c>
      <c r="Q23" s="263" t="str">
        <f t="shared" si="6"/>
        <v/>
      </c>
      <c r="S23" s="130" t="str">
        <f t="shared" si="7"/>
        <v/>
      </c>
      <c r="T23" s="191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x14ac:dyDescent="0.3">
      <c r="A24" s="42" t="str">
        <f t="shared" si="0"/>
        <v>B05</v>
      </c>
      <c r="B24" s="286" t="str">
        <f t="shared" si="8"/>
        <v>WIND</v>
      </c>
      <c r="C24" s="39" t="str">
        <f t="shared" si="1"/>
        <v>Έμμεση</v>
      </c>
      <c r="D24" s="219">
        <f>IF(S24="",IF(ΓΕΝΙΚΑ!$B$20="ΝΑΙ",14676,""),"")</f>
        <v>14676</v>
      </c>
      <c r="E24" s="269" t="str">
        <f>IF(ΓΕΝΙΚΑ!$B$20="ΝΑΙ","Π. ΘΕΣΣΑΛΙΑΣ","")</f>
        <v>Π. ΘΕΣΣΑΛΙΑΣ</v>
      </c>
      <c r="F24" s="24" t="s">
        <v>408</v>
      </c>
      <c r="G24" s="24">
        <v>95</v>
      </c>
      <c r="H24" s="140">
        <v>15.26</v>
      </c>
      <c r="I24" s="246">
        <f t="shared" si="2"/>
        <v>15.26</v>
      </c>
      <c r="J24" s="140">
        <v>27.74</v>
      </c>
      <c r="K24" s="246">
        <f t="shared" si="3"/>
        <v>27.74</v>
      </c>
      <c r="L24" s="7">
        <f t="shared" si="4"/>
        <v>43</v>
      </c>
      <c r="M24" s="34">
        <f t="shared" si="11"/>
        <v>0</v>
      </c>
      <c r="N24" s="229" t="str">
        <f t="shared" si="10"/>
        <v/>
      </c>
      <c r="O24" s="262" t="str">
        <f t="shared" si="9"/>
        <v/>
      </c>
      <c r="P24" s="262" t="str">
        <f t="shared" si="6"/>
        <v/>
      </c>
      <c r="Q24" s="263" t="str">
        <f t="shared" si="6"/>
        <v/>
      </c>
      <c r="S24" s="130" t="str">
        <f t="shared" si="7"/>
        <v/>
      </c>
      <c r="T24" s="191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x14ac:dyDescent="0.3">
      <c r="A25" s="42" t="str">
        <f t="shared" si="0"/>
        <v>B05</v>
      </c>
      <c r="B25" s="286" t="str">
        <f t="shared" si="8"/>
        <v>WIND</v>
      </c>
      <c r="C25" s="39" t="str">
        <f t="shared" si="1"/>
        <v>Έμμεση</v>
      </c>
      <c r="D25" s="232">
        <f>IF(S25="",IF(ΓΕΝΙΚΑ!$B$20="ΝΑΙ",14678,""),"")</f>
        <v>14678</v>
      </c>
      <c r="E25" s="270" t="str">
        <f>IF(ΓΕΝΙΚΑ!$B$20="ΝΑΙ","Π. ΙΟΝΙΩΝ ΝΗΣΩΝ","")</f>
        <v>Π. ΙΟΝΙΩΝ ΝΗΣΩΝ</v>
      </c>
      <c r="F25" s="7" t="s">
        <v>409</v>
      </c>
      <c r="G25" s="7">
        <v>95</v>
      </c>
      <c r="H25" s="140">
        <v>14.9</v>
      </c>
      <c r="I25" s="246">
        <f t="shared" si="2"/>
        <v>14.9</v>
      </c>
      <c r="J25" s="140">
        <v>19.100000000000001</v>
      </c>
      <c r="K25" s="246">
        <f t="shared" si="3"/>
        <v>19.100000000000001</v>
      </c>
      <c r="L25" s="7">
        <f t="shared" si="4"/>
        <v>34</v>
      </c>
      <c r="M25" s="34">
        <f t="shared" si="11"/>
        <v>0</v>
      </c>
      <c r="N25" s="229" t="str">
        <f t="shared" si="10"/>
        <v/>
      </c>
      <c r="O25" s="262" t="str">
        <f t="shared" si="9"/>
        <v/>
      </c>
      <c r="P25" s="262" t="str">
        <f t="shared" si="6"/>
        <v/>
      </c>
      <c r="Q25" s="263" t="str">
        <f t="shared" si="6"/>
        <v/>
      </c>
      <c r="S25" s="130" t="str">
        <f t="shared" si="7"/>
        <v/>
      </c>
      <c r="T25" s="191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x14ac:dyDescent="0.3">
      <c r="A26" s="42" t="str">
        <f t="shared" si="0"/>
        <v>B05</v>
      </c>
      <c r="B26" s="286" t="str">
        <f t="shared" si="8"/>
        <v>WIND</v>
      </c>
      <c r="C26" s="39" t="str">
        <f t="shared" si="1"/>
        <v>Έμμεση</v>
      </c>
      <c r="D26" s="219">
        <f>IF(S26="",IF(ΓΕΝΙΚΑ!$B$20="ΝΑΙ",14680,""),"")</f>
        <v>14680</v>
      </c>
      <c r="E26" s="269" t="str">
        <f>IF(ΓΕΝΙΚΑ!$B$20="ΝΑΙ","Π. ΚΕΝΤΡΙΚΗΣ ΜΑΚΕΔΟΝΙΑΣ","")</f>
        <v>Π. ΚΕΝΤΡΙΚΗΣ ΜΑΚΕΔΟΝΙΑΣ</v>
      </c>
      <c r="F26" s="24" t="s">
        <v>410</v>
      </c>
      <c r="G26" s="24">
        <v>95</v>
      </c>
      <c r="H26" s="140">
        <v>29.45</v>
      </c>
      <c r="I26" s="246">
        <f t="shared" si="2"/>
        <v>29.45</v>
      </c>
      <c r="J26" s="140">
        <v>34.549999999999997</v>
      </c>
      <c r="K26" s="246">
        <f t="shared" si="3"/>
        <v>34.549999999999997</v>
      </c>
      <c r="L26" s="7">
        <f t="shared" si="4"/>
        <v>64</v>
      </c>
      <c r="M26" s="34">
        <f t="shared" si="11"/>
        <v>0</v>
      </c>
      <c r="N26" s="229" t="str">
        <f t="shared" si="10"/>
        <v/>
      </c>
      <c r="O26" s="262" t="str">
        <f t="shared" si="9"/>
        <v/>
      </c>
      <c r="P26" s="262" t="str">
        <f t="shared" si="6"/>
        <v/>
      </c>
      <c r="Q26" s="263" t="str">
        <f t="shared" si="6"/>
        <v/>
      </c>
      <c r="S26" s="130" t="str">
        <f t="shared" si="7"/>
        <v/>
      </c>
      <c r="T26" s="191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x14ac:dyDescent="0.3">
      <c r="A27" s="42" t="str">
        <f t="shared" si="0"/>
        <v>B05</v>
      </c>
      <c r="B27" s="286" t="str">
        <f t="shared" si="8"/>
        <v>WIND</v>
      </c>
      <c r="C27" s="39" t="str">
        <f t="shared" si="1"/>
        <v>Έμμεση</v>
      </c>
      <c r="D27" s="232">
        <f>IF(S27="",IF(ΓΕΝΙΚΑ!$B$20="ΝΑΙ",14682,""),"")</f>
        <v>14682</v>
      </c>
      <c r="E27" s="270" t="str">
        <f>IF(ΓΕΝΙΚΑ!$B$20="ΝΑΙ","Π. ΚΡΗΤΗΣ","")</f>
        <v>Π. ΚΡΗΤΗΣ</v>
      </c>
      <c r="F27" s="7" t="s">
        <v>411</v>
      </c>
      <c r="G27" s="7">
        <v>95</v>
      </c>
      <c r="H27" s="140">
        <v>17.649999999999999</v>
      </c>
      <c r="I27" s="246">
        <f t="shared" si="2"/>
        <v>17.649999999999999</v>
      </c>
      <c r="J27" s="140">
        <v>19.350000000000001</v>
      </c>
      <c r="K27" s="246">
        <f t="shared" si="3"/>
        <v>19.350000000000001</v>
      </c>
      <c r="L27" s="7">
        <f t="shared" si="4"/>
        <v>37</v>
      </c>
      <c r="M27" s="34">
        <f t="shared" si="11"/>
        <v>0</v>
      </c>
      <c r="N27" s="229" t="str">
        <f t="shared" si="10"/>
        <v/>
      </c>
      <c r="O27" s="262" t="str">
        <f t="shared" si="9"/>
        <v/>
      </c>
      <c r="P27" s="262" t="str">
        <f t="shared" si="6"/>
        <v/>
      </c>
      <c r="Q27" s="263" t="str">
        <f t="shared" si="6"/>
        <v/>
      </c>
      <c r="S27" s="130" t="str">
        <f t="shared" si="7"/>
        <v/>
      </c>
      <c r="T27" s="191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x14ac:dyDescent="0.3">
      <c r="A28" s="42" t="str">
        <f t="shared" si="0"/>
        <v>B05</v>
      </c>
      <c r="B28" s="286" t="str">
        <f t="shared" si="8"/>
        <v>WIND</v>
      </c>
      <c r="C28" s="39" t="str">
        <f t="shared" si="1"/>
        <v>Έμμεση</v>
      </c>
      <c r="D28" s="219">
        <f>IF(S28="",IF(ΓΕΝΙΚΑ!$B$20="ΝΑΙ",14684,""),"")</f>
        <v>14684</v>
      </c>
      <c r="E28" s="269" t="str">
        <f>IF(ΓΕΝΙΚΑ!$B$20="ΝΑΙ","Π. ΝΟΤΙΟΥ ΑΙΓΑΙΟΥ","")</f>
        <v>Π. ΝΟΤΙΟΥ ΑΙΓΑΙΟΥ</v>
      </c>
      <c r="F28" s="24" t="s">
        <v>412</v>
      </c>
      <c r="G28" s="24">
        <v>95</v>
      </c>
      <c r="H28" s="140">
        <v>16.98</v>
      </c>
      <c r="I28" s="246">
        <f t="shared" si="2"/>
        <v>16.98</v>
      </c>
      <c r="J28" s="140">
        <v>19.02</v>
      </c>
      <c r="K28" s="246">
        <f t="shared" si="3"/>
        <v>19.02</v>
      </c>
      <c r="L28" s="7">
        <f t="shared" si="4"/>
        <v>36</v>
      </c>
      <c r="M28" s="34">
        <f t="shared" si="11"/>
        <v>0</v>
      </c>
      <c r="N28" s="229" t="str">
        <f t="shared" si="10"/>
        <v/>
      </c>
      <c r="O28" s="262" t="str">
        <f t="shared" si="9"/>
        <v/>
      </c>
      <c r="P28" s="262" t="str">
        <f t="shared" si="6"/>
        <v/>
      </c>
      <c r="Q28" s="263" t="str">
        <f t="shared" si="6"/>
        <v/>
      </c>
      <c r="S28" s="130" t="str">
        <f t="shared" si="7"/>
        <v/>
      </c>
      <c r="T28" s="191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x14ac:dyDescent="0.3">
      <c r="A29" s="42" t="str">
        <f t="shared" si="0"/>
        <v>B05</v>
      </c>
      <c r="B29" s="286" t="str">
        <f t="shared" si="8"/>
        <v>WIND</v>
      </c>
      <c r="C29" s="39" t="str">
        <f t="shared" si="1"/>
        <v>Έμμεση</v>
      </c>
      <c r="D29" s="232">
        <f>IF(S29="",IF(ΓΕΝΙΚΑ!$B$20="ΝΑΙ",14686,""),"")</f>
        <v>14686</v>
      </c>
      <c r="E29" s="270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40">
        <v>18.86</v>
      </c>
      <c r="I29" s="246">
        <f t="shared" si="2"/>
        <v>18.86</v>
      </c>
      <c r="J29" s="140">
        <v>30.14</v>
      </c>
      <c r="K29" s="246">
        <f t="shared" si="3"/>
        <v>30.14</v>
      </c>
      <c r="L29" s="7">
        <f t="shared" si="4"/>
        <v>49</v>
      </c>
      <c r="M29" s="34">
        <f t="shared" si="11"/>
        <v>0</v>
      </c>
      <c r="N29" s="229" t="str">
        <f t="shared" si="10"/>
        <v/>
      </c>
      <c r="O29" s="262" t="str">
        <f t="shared" si="9"/>
        <v/>
      </c>
      <c r="P29" s="262" t="str">
        <f t="shared" si="6"/>
        <v/>
      </c>
      <c r="Q29" s="263" t="str">
        <f t="shared" si="6"/>
        <v/>
      </c>
      <c r="S29" s="130" t="str">
        <f t="shared" si="7"/>
        <v/>
      </c>
      <c r="T29" s="191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15" thickBot="1" x14ac:dyDescent="0.35">
      <c r="A30" s="43" t="str">
        <f t="shared" si="0"/>
        <v>B05</v>
      </c>
      <c r="B30" s="287" t="str">
        <f t="shared" si="8"/>
        <v>WIND</v>
      </c>
      <c r="C30" s="44" t="str">
        <f t="shared" si="1"/>
        <v>Έμμεση</v>
      </c>
      <c r="D30" s="220">
        <f>IF(S30="",IF(ΓΕΝΙΚΑ!$B$20="ΝΑΙ",14688,""),"")</f>
        <v>14688</v>
      </c>
      <c r="E30" s="271" t="str">
        <f>IF(ΓΕΝΙΚΑ!$B$20="ΝΑΙ","Π. ΣΤΕΡΕΑΣ ΕΛΛΑΔΑΣ","")</f>
        <v>Π. ΣΤΕΡΕΑΣ ΕΛΛΑΔΑΣ</v>
      </c>
      <c r="F30" s="35" t="s">
        <v>414</v>
      </c>
      <c r="G30" s="35">
        <v>95</v>
      </c>
      <c r="H30" s="141">
        <v>22.64</v>
      </c>
      <c r="I30" s="246">
        <f t="shared" si="2"/>
        <v>22.64</v>
      </c>
      <c r="J30" s="141">
        <v>33.36</v>
      </c>
      <c r="K30" s="246">
        <f t="shared" si="3"/>
        <v>33.36</v>
      </c>
      <c r="L30" s="6">
        <f t="shared" si="4"/>
        <v>56</v>
      </c>
      <c r="M30" s="36">
        <f t="shared" si="11"/>
        <v>0</v>
      </c>
      <c r="N30" s="230" t="str">
        <f t="shared" si="10"/>
        <v/>
      </c>
      <c r="O30" s="264" t="str">
        <f t="shared" si="9"/>
        <v/>
      </c>
      <c r="P30" s="264" t="str">
        <f t="shared" si="6"/>
        <v/>
      </c>
      <c r="Q30" s="265" t="str">
        <f t="shared" si="6"/>
        <v/>
      </c>
      <c r="S30" s="130" t="str">
        <f t="shared" si="7"/>
        <v/>
      </c>
      <c r="T30" s="192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3">
      <c r="L1048576" s="254"/>
    </row>
  </sheetData>
  <sheetProtection algorithmName="SHA-512" hashValue="/pZPjm//Y9uYiV7NZk/KYYj59gCJgCvIilaV7otiMmaH1SfDS6kfGgt5w66qwRexw52nERoi3ifCryws++g0Ug==" saltValue="Gh9lfgDNMSl+5mBFs6gfZw==" spinCount="100000" sheet="1" objects="1" scenario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 xr:uid="{00000000-0002-0000-0900-000000000000}">
      <formula1>Serv_Type</formula1>
    </dataValidation>
    <dataValidation type="list" allowBlank="1" showInputMessage="1" showErrorMessage="1" sqref="G3:G30" xr:uid="{00000000-0002-0000-0900-000001000000}">
      <formula1>Percent.</formula1>
    </dataValidation>
    <dataValidation type="list" allowBlank="1" showInputMessage="1" showErrorMessage="1" sqref="C3" xr:uid="{00000000-0002-0000-09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16"/>
  <sheetViews>
    <sheetView topLeftCell="A2" zoomScale="55" zoomScaleNormal="55" workbookViewId="0">
      <selection activeCell="L3" sqref="L3"/>
    </sheetView>
  </sheetViews>
  <sheetFormatPr defaultColWidth="9.109375" defaultRowHeight="14.4" zeroHeight="1" x14ac:dyDescent="0.3"/>
  <cols>
    <col min="1" max="1" width="50" style="170" customWidth="1"/>
    <col min="2" max="2" width="23" style="170" hidden="1" customWidth="1"/>
    <col min="3" max="3" width="23" style="170" customWidth="1"/>
    <col min="4" max="4" width="27" style="249" hidden="1" customWidth="1"/>
    <col min="5" max="5" width="38.5546875" style="249" hidden="1" customWidth="1"/>
    <col min="6" max="6" width="38.109375" style="170" customWidth="1"/>
    <col min="7" max="7" width="22.6640625" style="170" customWidth="1"/>
    <col min="8" max="8" width="28.33203125" style="170" customWidth="1"/>
    <col min="9" max="9" width="28.33203125" style="170" hidden="1" customWidth="1"/>
    <col min="10" max="10" width="27.44140625" style="170" customWidth="1"/>
    <col min="11" max="11" width="28.33203125" style="170" hidden="1" customWidth="1"/>
    <col min="12" max="12" width="62.88671875" style="170" customWidth="1"/>
    <col min="13" max="13" width="56.44140625" style="170" customWidth="1"/>
    <col min="14" max="14" width="9.109375" style="170" customWidth="1"/>
    <col min="15" max="15" width="16.109375" style="170" customWidth="1"/>
    <col min="16" max="16" width="58.109375" style="170" customWidth="1"/>
    <col min="17" max="17" width="9.109375" style="170" customWidth="1"/>
    <col min="18" max="16384" width="9.109375" style="170"/>
  </cols>
  <sheetData>
    <row r="1" spans="1:16" ht="15" hidden="1" thickBot="1" x14ac:dyDescent="0.35">
      <c r="A1" t="s">
        <v>505</v>
      </c>
      <c r="B1" t="s">
        <v>504</v>
      </c>
      <c r="C1" t="s">
        <v>506</v>
      </c>
      <c r="D1" s="226" t="s">
        <v>905</v>
      </c>
      <c r="E1" s="226" t="s">
        <v>906</v>
      </c>
      <c r="F1" s="80" t="s">
        <v>509</v>
      </c>
      <c r="G1" t="s">
        <v>532</v>
      </c>
      <c r="H1" t="s">
        <v>519</v>
      </c>
      <c r="I1" t="s">
        <v>531</v>
      </c>
      <c r="J1" t="s">
        <v>519</v>
      </c>
      <c r="K1" t="s">
        <v>530</v>
      </c>
      <c r="L1" s="25" t="s">
        <v>533</v>
      </c>
      <c r="M1" s="25" t="s">
        <v>512</v>
      </c>
      <c r="O1" s="25" t="s">
        <v>519</v>
      </c>
      <c r="P1" s="25" t="s">
        <v>519</v>
      </c>
    </row>
    <row r="2" spans="1:16" ht="58.2" thickBot="1" x14ac:dyDescent="0.35">
      <c r="A2" s="3" t="s">
        <v>422</v>
      </c>
      <c r="B2" s="4" t="s">
        <v>28</v>
      </c>
      <c r="C2" s="4" t="s">
        <v>433</v>
      </c>
      <c r="D2" s="240"/>
      <c r="E2" s="240"/>
      <c r="F2" s="4" t="s">
        <v>547</v>
      </c>
      <c r="G2" s="4" t="s">
        <v>501</v>
      </c>
      <c r="H2" s="4" t="s">
        <v>563</v>
      </c>
      <c r="I2" s="4" t="s">
        <v>563</v>
      </c>
      <c r="J2" s="4" t="s">
        <v>564</v>
      </c>
      <c r="K2" s="240" t="s">
        <v>564</v>
      </c>
      <c r="L2" s="4" t="s">
        <v>472</v>
      </c>
      <c r="M2" s="23" t="s">
        <v>421</v>
      </c>
      <c r="O2" s="148" t="s">
        <v>452</v>
      </c>
      <c r="P2" s="109" t="s">
        <v>553</v>
      </c>
    </row>
    <row r="3" spans="1:16" ht="72.599999999999994" thickTop="1" x14ac:dyDescent="0.3">
      <c r="A3" s="40" t="s">
        <v>470</v>
      </c>
      <c r="B3" s="48" t="str">
        <f>ΓΕΝΙΚΑ!C4</f>
        <v>WIND</v>
      </c>
      <c r="C3" s="250" t="s">
        <v>434</v>
      </c>
      <c r="D3" s="231">
        <f>IF(S3="",IF(ΓΕΝΙΚΑ!$B$20="ΝΑΙ",15300,""),"")</f>
        <v>15300</v>
      </c>
      <c r="E3" s="221" t="str">
        <f>IF(ΓΕΝΙΚΑ!$B$21="ΝΑΙ","ΠΑΝΕΛΛΑΔΙΚΑ","")</f>
        <v>ΠΑΝΕΛΛΑΔΙΚΑ</v>
      </c>
      <c r="F3" s="41" t="s">
        <v>555</v>
      </c>
      <c r="G3" s="266">
        <f>IF(AND(ISNUMBER(H3),ISNUMBER(J3)),ROUND(H3/J3,2),"N/A")</f>
        <v>0.34</v>
      </c>
      <c r="H3" s="154">
        <v>38746</v>
      </c>
      <c r="I3" s="149">
        <f>IF(ISNUMBER(H3),ROUND(H3,0),"")</f>
        <v>38746</v>
      </c>
      <c r="J3" s="153">
        <v>112788</v>
      </c>
      <c r="K3" s="314">
        <f>IF(ISNUMBER(J3),ROUND(J3,0),"")</f>
        <v>112788</v>
      </c>
      <c r="L3" s="300" t="s">
        <v>933</v>
      </c>
      <c r="M3" s="245" t="s">
        <v>925</v>
      </c>
      <c r="O3" s="46" t="str">
        <f>IF(P3&lt;&gt;"","ΣΦΑΛΜΑ","")</f>
        <v/>
      </c>
      <c r="P3" s="150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72" x14ac:dyDescent="0.3">
      <c r="A4" s="42" t="str">
        <f t="shared" ref="A4:A16" si="0">A$3</f>
        <v>B06</v>
      </c>
      <c r="B4" s="39" t="str">
        <f t="shared" ref="B4:B16" si="1">B$3</f>
        <v>WIND</v>
      </c>
      <c r="C4" s="39" t="str">
        <f t="shared" ref="C4:C16" si="2">$C$3</f>
        <v>Άμεση</v>
      </c>
      <c r="D4" s="219">
        <f>IF(S4="",IF(ΓΕΝΙΚΑ!$B$20="ΝΑΙ",14664,""),"")</f>
        <v>14664</v>
      </c>
      <c r="E4" s="222" t="str">
        <f>IF(ΓΕΝΙΚΑ!$B$21="ΝΑΙ","Π. ΑΝΑΤΟΛΙΚΗΣ ΜΑΚΕΔΟΝΙΑΣ - ΘΡΑΚΗΣ","")</f>
        <v>Π. ΑΝΑΤΟΛΙΚΗΣ ΜΑΚΕΔΟΝΙΑΣ - ΘΡΑΚΗΣ</v>
      </c>
      <c r="F4" s="24" t="s">
        <v>39</v>
      </c>
      <c r="G4" s="266">
        <f t="shared" ref="G4:G16" si="3">IF(AND(ISNUMBER(H4),ISNUMBER(J4)),ROUND(H4/J4,2),"N/A")</f>
        <v>0.21</v>
      </c>
      <c r="H4" s="154">
        <v>967</v>
      </c>
      <c r="I4" s="247">
        <f t="shared" ref="I4:I16" si="4">IF(ISNUMBER(H4),ROUND(H4,0),"")</f>
        <v>967</v>
      </c>
      <c r="J4" s="153">
        <v>4628</v>
      </c>
      <c r="K4" s="310">
        <f t="shared" ref="K4:K16" si="5">IF(ISNUMBER(J4),ROUND(J4,0),"")</f>
        <v>4628</v>
      </c>
      <c r="L4" s="262" t="str">
        <f>L$3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4" s="263" t="str">
        <f>M$3</f>
        <v/>
      </c>
      <c r="O4" s="130" t="str">
        <f t="shared" ref="O4:O16" si="6">IF(P4&lt;&gt;"","ΣΦΑΛΜΑ","")</f>
        <v/>
      </c>
      <c r="P4" s="151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72" x14ac:dyDescent="0.3">
      <c r="A5" s="42" t="str">
        <f t="shared" si="0"/>
        <v>B06</v>
      </c>
      <c r="B5" s="39" t="str">
        <f t="shared" si="1"/>
        <v>WIND</v>
      </c>
      <c r="C5" s="39" t="str">
        <f t="shared" si="2"/>
        <v>Άμεση</v>
      </c>
      <c r="D5" s="232">
        <f>IF(S5="",IF(ΓΕΝΙΚΑ!$B$20="ΝΑΙ",14666,""),"")</f>
        <v>14666</v>
      </c>
      <c r="E5" s="223" t="str">
        <f>IF(ΓΕΝΙΚΑ!$B$21="ΝΑΙ","Π. ΑΤΤΙΚΗΣ","")</f>
        <v>Π. ΑΤΤΙΚΗΣ</v>
      </c>
      <c r="F5" s="7" t="s">
        <v>40</v>
      </c>
      <c r="G5" s="266">
        <f t="shared" si="3"/>
        <v>0.34</v>
      </c>
      <c r="H5" s="154">
        <v>22604</v>
      </c>
      <c r="I5" s="247">
        <f t="shared" si="4"/>
        <v>22604</v>
      </c>
      <c r="J5" s="153">
        <v>65897</v>
      </c>
      <c r="K5" s="310">
        <f t="shared" si="5"/>
        <v>65897</v>
      </c>
      <c r="L5" s="262" t="str">
        <f t="shared" ref="L5:M16" si="7">L$3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5" s="263" t="str">
        <f t="shared" si="7"/>
        <v/>
      </c>
      <c r="O5" s="130" t="str">
        <f t="shared" si="6"/>
        <v/>
      </c>
      <c r="P5" s="151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72" x14ac:dyDescent="0.3">
      <c r="A6" s="42" t="str">
        <f t="shared" si="0"/>
        <v>B06</v>
      </c>
      <c r="B6" s="39" t="str">
        <f t="shared" si="1"/>
        <v>WIND</v>
      </c>
      <c r="C6" s="39" t="str">
        <f t="shared" si="2"/>
        <v>Άμεση</v>
      </c>
      <c r="D6" s="219">
        <f>IF(S3="",IF(ΓΕΝΙΚΑ!$B$20="ΝΑΙ",14668,""),"")</f>
        <v>14668</v>
      </c>
      <c r="E6" s="222" t="str">
        <f>IF(ΓΕΝΙΚΑ!$B$21="ΝΑΙ","Π. ΒΟΡΕΙΟΥ ΑΙΓΑΙΟΥ","")</f>
        <v>Π. ΒΟΡΕΙΟΥ ΑΙΓΑΙΟΥ</v>
      </c>
      <c r="F6" s="24" t="s">
        <v>404</v>
      </c>
      <c r="G6" s="266">
        <f t="shared" si="3"/>
        <v>0.4</v>
      </c>
      <c r="H6" s="154">
        <v>178</v>
      </c>
      <c r="I6" s="247">
        <f t="shared" si="4"/>
        <v>178</v>
      </c>
      <c r="J6" s="153">
        <v>441</v>
      </c>
      <c r="K6" s="310">
        <f t="shared" si="5"/>
        <v>441</v>
      </c>
      <c r="L6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6" s="263" t="str">
        <f t="shared" si="7"/>
        <v/>
      </c>
      <c r="O6" s="130" t="str">
        <f t="shared" si="6"/>
        <v/>
      </c>
      <c r="P6" s="151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72" x14ac:dyDescent="0.3">
      <c r="A7" s="42" t="str">
        <f t="shared" si="0"/>
        <v>B06</v>
      </c>
      <c r="B7" s="39" t="str">
        <f t="shared" si="1"/>
        <v>WIND</v>
      </c>
      <c r="C7" s="39" t="str">
        <f t="shared" si="2"/>
        <v>Άμεση</v>
      </c>
      <c r="D7" s="232">
        <f>IF(S7="",IF(ΓΕΝΙΚΑ!$B$20="ΝΑΙ",14670,""),"")</f>
        <v>14670</v>
      </c>
      <c r="E7" s="223" t="str">
        <f>IF(ΓΕΝΙΚΑ!$B$21="ΝΑΙ","Π. ΔΥΤΙΚΗΣ ΕΛΛΑΔΑΣ","")</f>
        <v>Π. ΔΥΤΙΚΗΣ ΕΛΛΑΔΑΣ</v>
      </c>
      <c r="F7" s="7" t="s">
        <v>405</v>
      </c>
      <c r="G7" s="266">
        <f t="shared" si="3"/>
        <v>0.41</v>
      </c>
      <c r="H7" s="154">
        <v>2303</v>
      </c>
      <c r="I7" s="247">
        <f t="shared" si="4"/>
        <v>2303</v>
      </c>
      <c r="J7" s="153">
        <v>5683</v>
      </c>
      <c r="K7" s="310">
        <f t="shared" si="5"/>
        <v>5683</v>
      </c>
      <c r="L7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7" s="263" t="str">
        <f t="shared" si="7"/>
        <v/>
      </c>
      <c r="O7" s="130" t="str">
        <f t="shared" si="6"/>
        <v/>
      </c>
      <c r="P7" s="151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72" x14ac:dyDescent="0.3">
      <c r="A8" s="42" t="str">
        <f t="shared" si="0"/>
        <v>B06</v>
      </c>
      <c r="B8" s="39" t="str">
        <f t="shared" si="1"/>
        <v>WIND</v>
      </c>
      <c r="C8" s="39" t="str">
        <f t="shared" si="2"/>
        <v>Άμεση</v>
      </c>
      <c r="D8" s="219">
        <f>IF(S8="",IF(ΓΕΝΙΚΑ!$B$20="ΝΑΙ",14672,""),"")</f>
        <v>14672</v>
      </c>
      <c r="E8" s="222" t="str">
        <f>IF(ΓΕΝΙΚΑ!$B$21="ΝΑΙ","Π. ΔΥΤΙΚΗΣ ΜΑΚΕΔΟΝΙΑΣ","")</f>
        <v>Π. ΔΥΤΙΚΗΣ ΜΑΚΕΔΟΝΙΑΣ</v>
      </c>
      <c r="F8" s="24" t="s">
        <v>406</v>
      </c>
      <c r="G8" s="266">
        <f t="shared" si="3"/>
        <v>0.34</v>
      </c>
      <c r="H8" s="154">
        <v>341</v>
      </c>
      <c r="I8" s="247">
        <f t="shared" si="4"/>
        <v>341</v>
      </c>
      <c r="J8" s="153">
        <v>994</v>
      </c>
      <c r="K8" s="310">
        <f t="shared" si="5"/>
        <v>994</v>
      </c>
      <c r="L8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8" s="263" t="str">
        <f t="shared" si="7"/>
        <v/>
      </c>
      <c r="O8" s="130" t="str">
        <f t="shared" si="6"/>
        <v/>
      </c>
      <c r="P8" s="151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72" x14ac:dyDescent="0.3">
      <c r="A9" s="42" t="str">
        <f t="shared" si="0"/>
        <v>B06</v>
      </c>
      <c r="B9" s="39" t="str">
        <f t="shared" si="1"/>
        <v>WIND</v>
      </c>
      <c r="C9" s="39" t="str">
        <f t="shared" si="2"/>
        <v>Άμεση</v>
      </c>
      <c r="D9" s="232">
        <f>IF(S9="",IF(ΓΕΝΙΚΑ!$B$20="ΝΑΙ",14674,""),"")</f>
        <v>14674</v>
      </c>
      <c r="E9" s="223" t="str">
        <f>IF(ΓΕΝΙΚΑ!$B$21="ΝΑΙ","Π. ΗΠΕΙΡΟΥ","")</f>
        <v>Π. ΗΠΕΙΡΟΥ</v>
      </c>
      <c r="F9" s="7" t="s">
        <v>407</v>
      </c>
      <c r="G9" s="266">
        <f t="shared" si="3"/>
        <v>0.47</v>
      </c>
      <c r="H9" s="154">
        <v>746</v>
      </c>
      <c r="I9" s="247">
        <f t="shared" si="4"/>
        <v>746</v>
      </c>
      <c r="J9" s="153">
        <v>1572</v>
      </c>
      <c r="K9" s="310">
        <f t="shared" si="5"/>
        <v>1572</v>
      </c>
      <c r="L9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9" s="263" t="str">
        <f t="shared" si="7"/>
        <v/>
      </c>
      <c r="O9" s="130" t="str">
        <f t="shared" si="6"/>
        <v/>
      </c>
      <c r="P9" s="151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72" x14ac:dyDescent="0.3">
      <c r="A10" s="42" t="str">
        <f t="shared" si="0"/>
        <v>B06</v>
      </c>
      <c r="B10" s="39" t="str">
        <f t="shared" si="1"/>
        <v>WIND</v>
      </c>
      <c r="C10" s="39" t="str">
        <f t="shared" si="2"/>
        <v>Άμεση</v>
      </c>
      <c r="D10" s="219">
        <f>IF(S10="",IF(ΓΕΝΙΚΑ!$B$20="ΝΑΙ",14676,""),"")</f>
        <v>14676</v>
      </c>
      <c r="E10" s="222" t="str">
        <f>IF(ΓΕΝΙΚΑ!$B$21="ΝΑΙ","Π. ΘΕΣΣΑΛΙΑΣ","")</f>
        <v>Π. ΘΕΣΣΑΛΙΑΣ</v>
      </c>
      <c r="F10" s="24" t="s">
        <v>408</v>
      </c>
      <c r="G10" s="266">
        <f t="shared" si="3"/>
        <v>0.47</v>
      </c>
      <c r="H10" s="154">
        <v>2045</v>
      </c>
      <c r="I10" s="247">
        <f t="shared" si="4"/>
        <v>2045</v>
      </c>
      <c r="J10" s="153">
        <v>4383</v>
      </c>
      <c r="K10" s="310">
        <f t="shared" si="5"/>
        <v>4383</v>
      </c>
      <c r="L10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0" s="263" t="str">
        <f t="shared" si="7"/>
        <v/>
      </c>
      <c r="O10" s="130" t="str">
        <f t="shared" si="6"/>
        <v/>
      </c>
      <c r="P10" s="151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72" x14ac:dyDescent="0.3">
      <c r="A11" s="42" t="str">
        <f t="shared" si="0"/>
        <v>B06</v>
      </c>
      <c r="B11" s="39" t="str">
        <f t="shared" si="1"/>
        <v>WIND</v>
      </c>
      <c r="C11" s="39" t="str">
        <f t="shared" si="2"/>
        <v>Άμεση</v>
      </c>
      <c r="D11" s="232">
        <f>IF(S11="",IF(ΓΕΝΙΚΑ!$B$20="ΝΑΙ",14678,""),"")</f>
        <v>14678</v>
      </c>
      <c r="E11" s="223" t="str">
        <f>IF(ΓΕΝΙΚΑ!$B$21="ΝΑΙ","Π. ΙΟΝΙΩΝ ΝΗΣΩΝ","")</f>
        <v>Π. ΙΟΝΙΩΝ ΝΗΣΩΝ</v>
      </c>
      <c r="F11" s="7" t="s">
        <v>409</v>
      </c>
      <c r="G11" s="266">
        <f t="shared" si="3"/>
        <v>0.55000000000000004</v>
      </c>
      <c r="H11" s="154">
        <v>492</v>
      </c>
      <c r="I11" s="247">
        <f t="shared" si="4"/>
        <v>492</v>
      </c>
      <c r="J11" s="153">
        <v>889</v>
      </c>
      <c r="K11" s="310">
        <f t="shared" si="5"/>
        <v>889</v>
      </c>
      <c r="L11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1" s="263" t="str">
        <f t="shared" si="7"/>
        <v/>
      </c>
      <c r="O11" s="130" t="str">
        <f t="shared" si="6"/>
        <v/>
      </c>
      <c r="P11" s="151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72" x14ac:dyDescent="0.3">
      <c r="A12" s="42" t="str">
        <f t="shared" si="0"/>
        <v>B06</v>
      </c>
      <c r="B12" s="39" t="str">
        <f t="shared" si="1"/>
        <v>WIND</v>
      </c>
      <c r="C12" s="39" t="str">
        <f t="shared" si="2"/>
        <v>Άμεση</v>
      </c>
      <c r="D12" s="219">
        <f>IF(S12="",IF(ΓΕΝΙΚΑ!$B$20="ΝΑΙ",14680,""),"")</f>
        <v>14680</v>
      </c>
      <c r="E12" s="222" t="str">
        <f>IF(ΓΕΝΙΚΑ!$B$21="ΝΑΙ","Π. ΚΕΝΤΡΙΚΗΣ ΜΑΚΕΔΟΝΙΑΣ","")</f>
        <v>Π. ΚΕΝΤΡΙΚΗΣ ΜΑΚΕΔΟΝΙΑΣ</v>
      </c>
      <c r="F12" s="24" t="s">
        <v>410</v>
      </c>
      <c r="G12" s="266">
        <f t="shared" si="3"/>
        <v>0.28000000000000003</v>
      </c>
      <c r="H12" s="154">
        <v>4938</v>
      </c>
      <c r="I12" s="247">
        <f t="shared" si="4"/>
        <v>4938</v>
      </c>
      <c r="J12" s="153">
        <v>17433</v>
      </c>
      <c r="K12" s="310">
        <f t="shared" si="5"/>
        <v>17433</v>
      </c>
      <c r="L12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2" s="263" t="str">
        <f t="shared" si="7"/>
        <v/>
      </c>
      <c r="O12" s="130" t="str">
        <f t="shared" si="6"/>
        <v/>
      </c>
      <c r="P12" s="151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72" x14ac:dyDescent="0.3">
      <c r="A13" s="42" t="str">
        <f t="shared" si="0"/>
        <v>B06</v>
      </c>
      <c r="B13" s="39" t="str">
        <f t="shared" si="1"/>
        <v>WIND</v>
      </c>
      <c r="C13" s="39" t="str">
        <f t="shared" si="2"/>
        <v>Άμεση</v>
      </c>
      <c r="D13" s="232">
        <f>IF(S13="",IF(ΓΕΝΙΚΑ!$B$20="ΝΑΙ",14682,""),"")</f>
        <v>14682</v>
      </c>
      <c r="E13" s="223" t="str">
        <f>IF(ΓΕΝΙΚΑ!$B$21="ΝΑΙ","Π. ΚΡΗΤΗΣ","")</f>
        <v>Π. ΚΡΗΤΗΣ</v>
      </c>
      <c r="F13" s="7" t="s">
        <v>411</v>
      </c>
      <c r="G13" s="266">
        <f t="shared" si="3"/>
        <v>0.38</v>
      </c>
      <c r="H13" s="154">
        <v>1454</v>
      </c>
      <c r="I13" s="247">
        <f t="shared" si="4"/>
        <v>1454</v>
      </c>
      <c r="J13" s="153">
        <v>3822</v>
      </c>
      <c r="K13" s="310">
        <f t="shared" si="5"/>
        <v>3822</v>
      </c>
      <c r="L13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3" s="263" t="str">
        <f t="shared" si="7"/>
        <v/>
      </c>
      <c r="O13" s="130" t="str">
        <f t="shared" si="6"/>
        <v/>
      </c>
      <c r="P13" s="151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72" x14ac:dyDescent="0.3">
      <c r="A14" s="42" t="str">
        <f t="shared" si="0"/>
        <v>B06</v>
      </c>
      <c r="B14" s="39" t="str">
        <f t="shared" si="1"/>
        <v>WIND</v>
      </c>
      <c r="C14" s="39" t="str">
        <f t="shared" si="2"/>
        <v>Άμεση</v>
      </c>
      <c r="D14" s="219">
        <f>IF(S14="",IF(ΓΕΝΙΚΑ!$B$20="ΝΑΙ",14684,""),"")</f>
        <v>14684</v>
      </c>
      <c r="E14" s="222" t="str">
        <f>IF(ΓΕΝΙΚΑ!$B$21="ΝΑΙ","Π. ΝΟΤΙΟΥ ΑΙΓΑΙΟΥ","")</f>
        <v>Π. ΝΟΤΙΟΥ ΑΙΓΑΙΟΥ</v>
      </c>
      <c r="F14" s="24" t="s">
        <v>412</v>
      </c>
      <c r="G14" s="266">
        <f t="shared" si="3"/>
        <v>0.33</v>
      </c>
      <c r="H14" s="154">
        <v>895</v>
      </c>
      <c r="I14" s="247">
        <f t="shared" si="4"/>
        <v>895</v>
      </c>
      <c r="J14" s="153">
        <v>2750</v>
      </c>
      <c r="K14" s="310">
        <f t="shared" si="5"/>
        <v>2750</v>
      </c>
      <c r="L14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4" s="263" t="str">
        <f t="shared" si="7"/>
        <v/>
      </c>
      <c r="O14" s="130" t="str">
        <f t="shared" si="6"/>
        <v/>
      </c>
      <c r="P14" s="151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72" x14ac:dyDescent="0.3">
      <c r="A15" s="42" t="str">
        <f t="shared" si="0"/>
        <v>B06</v>
      </c>
      <c r="B15" s="39" t="str">
        <f t="shared" si="1"/>
        <v>WIND</v>
      </c>
      <c r="C15" s="39" t="str">
        <f t="shared" si="2"/>
        <v>Άμεση</v>
      </c>
      <c r="D15" s="232">
        <f>IF(S15="",IF(ΓΕΝΙΚΑ!$B$20="ΝΑΙ",14686,""),"")</f>
        <v>14686</v>
      </c>
      <c r="E15" s="223" t="str">
        <f>IF(ΓΕΝΙΚΑ!$B$21="ΝΑΙ","Π. ΠΕΛΟΠΟΝΝΗΣΟΥ","")</f>
        <v>Π. ΠΕΛΟΠΟΝΝΗΣΟΥ</v>
      </c>
      <c r="F15" s="7" t="s">
        <v>413</v>
      </c>
      <c r="G15" s="266">
        <f t="shared" si="3"/>
        <v>0.36</v>
      </c>
      <c r="H15" s="154">
        <v>864</v>
      </c>
      <c r="I15" s="247">
        <f t="shared" si="4"/>
        <v>864</v>
      </c>
      <c r="J15" s="153">
        <v>2416</v>
      </c>
      <c r="K15" s="310">
        <f t="shared" si="5"/>
        <v>2416</v>
      </c>
      <c r="L15" s="262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5" s="263" t="str">
        <f t="shared" si="7"/>
        <v/>
      </c>
      <c r="O15" s="130" t="str">
        <f t="shared" si="6"/>
        <v/>
      </c>
      <c r="P15" s="151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72.599999999999994" thickBot="1" x14ac:dyDescent="0.35">
      <c r="A16" s="43" t="str">
        <f t="shared" si="0"/>
        <v>B06</v>
      </c>
      <c r="B16" s="44" t="str">
        <f t="shared" si="1"/>
        <v>WIND</v>
      </c>
      <c r="C16" s="44" t="str">
        <f t="shared" si="2"/>
        <v>Άμεση</v>
      </c>
      <c r="D16" s="220">
        <f>IF(S16="",IF(ΓΕΝΙΚΑ!$B$20="ΝΑΙ",14688,""),"")</f>
        <v>14688</v>
      </c>
      <c r="E16" s="224" t="str">
        <f>IF(ΓΕΝΙΚΑ!$B$21="ΝΑΙ","Π. ΣΤΕΡΕΑΣ ΕΛΛΑΔΑΣ","")</f>
        <v>Π. ΣΤΕΡΕΑΣ ΕΛΛΑΔΑΣ</v>
      </c>
      <c r="F16" s="35" t="s">
        <v>414</v>
      </c>
      <c r="G16" s="313">
        <f t="shared" si="3"/>
        <v>0.49</v>
      </c>
      <c r="H16" s="307">
        <v>919</v>
      </c>
      <c r="I16" s="308">
        <f t="shared" si="4"/>
        <v>919</v>
      </c>
      <c r="J16" s="309">
        <v>1880</v>
      </c>
      <c r="K16" s="311">
        <f t="shared" si="5"/>
        <v>1880</v>
      </c>
      <c r="L16" s="264" t="str">
        <f t="shared" si="7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M16" s="265" t="str">
        <f t="shared" si="7"/>
        <v/>
      </c>
      <c r="O16" s="131" t="str">
        <f t="shared" si="6"/>
        <v/>
      </c>
      <c r="P16" s="152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algorithmName="SHA-512" hashValue="J2irM8351qxAVyDmkbw/uXoM3yfswzDh2Sz0VsSjV0IpPthhhgV/yYytTmiFL4iVUi4JeMMGRm0jULaOyy2w9w==" saltValue="xws8iLMrKCW4zdRCyU1Rzw==" spinCount="100000" sheet="1" objects="1" scenario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 xr:uid="{00000000-0002-0000-0A00-000000000000}">
      <formula1>Serv_Type</formula1>
    </dataValidation>
    <dataValidation type="list" allowBlank="1" showInputMessage="1" showErrorMessage="1" sqref="C3" xr:uid="{00000000-0002-0000-0A00-000001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Z30"/>
  <sheetViews>
    <sheetView topLeftCell="A2" zoomScale="55" zoomScaleNormal="55" workbookViewId="0">
      <selection activeCell="O3" sqref="O3"/>
    </sheetView>
  </sheetViews>
  <sheetFormatPr defaultColWidth="0" defaultRowHeight="14.4" zeroHeight="1" x14ac:dyDescent="0.3"/>
  <cols>
    <col min="1" max="1" width="50" style="170" customWidth="1"/>
    <col min="2" max="2" width="23" style="170" hidden="1" customWidth="1"/>
    <col min="3" max="3" width="23" style="170" customWidth="1"/>
    <col min="4" max="4" width="38.109375" style="249" hidden="1" customWidth="1"/>
    <col min="5" max="5" width="37.44140625" style="249" hidden="1" customWidth="1"/>
    <col min="6" max="6" width="38.109375" style="170" customWidth="1"/>
    <col min="7" max="7" width="26" style="170" customWidth="1"/>
    <col min="8" max="8" width="28.33203125" style="170" customWidth="1"/>
    <col min="9" max="9" width="28.33203125" style="170" hidden="1" customWidth="1"/>
    <col min="10" max="10" width="35.109375" style="170" customWidth="1"/>
    <col min="11" max="11" width="28.33203125" style="170" hidden="1" customWidth="1"/>
    <col min="12" max="12" width="18.109375" style="170" customWidth="1"/>
    <col min="13" max="13" width="28.33203125" style="170" customWidth="1"/>
    <col min="14" max="14" width="28.33203125" style="170" hidden="1" customWidth="1"/>
    <col min="15" max="15" width="40.33203125" style="170" customWidth="1"/>
    <col min="16" max="17" width="31.33203125" style="170" customWidth="1"/>
    <col min="18" max="18" width="9.109375" style="170" customWidth="1"/>
    <col min="19" max="19" width="16.109375" style="170" customWidth="1"/>
    <col min="20" max="20" width="72.6640625" style="170" customWidth="1"/>
    <col min="21" max="16384" width="9.109375" style="170" hidden="1"/>
  </cols>
  <sheetData>
    <row r="1" spans="1:26" ht="15" hidden="1" thickBot="1" x14ac:dyDescent="0.35">
      <c r="A1" t="s">
        <v>505</v>
      </c>
      <c r="B1" t="s">
        <v>504</v>
      </c>
      <c r="C1" s="2" t="s">
        <v>506</v>
      </c>
      <c r="D1" s="226" t="s">
        <v>905</v>
      </c>
      <c r="E1" s="226" t="s">
        <v>906</v>
      </c>
      <c r="F1" s="63" t="s">
        <v>509</v>
      </c>
      <c r="G1" t="s">
        <v>524</v>
      </c>
      <c r="H1" t="s">
        <v>519</v>
      </c>
      <c r="I1" t="s">
        <v>534</v>
      </c>
      <c r="J1" t="s">
        <v>519</v>
      </c>
      <c r="K1" t="s">
        <v>535</v>
      </c>
      <c r="L1" t="s">
        <v>536</v>
      </c>
      <c r="M1" t="s">
        <v>519</v>
      </c>
      <c r="N1" s="225" t="s">
        <v>921</v>
      </c>
      <c r="O1" s="25" t="s">
        <v>928</v>
      </c>
      <c r="P1" s="2" t="s">
        <v>537</v>
      </c>
      <c r="Q1" s="25" t="s">
        <v>512</v>
      </c>
      <c r="S1" s="25" t="s">
        <v>519</v>
      </c>
      <c r="T1" s="25" t="s">
        <v>519</v>
      </c>
    </row>
    <row r="2" spans="1:26" ht="79.8" thickBot="1" x14ac:dyDescent="0.35">
      <c r="A2" s="3" t="s">
        <v>422</v>
      </c>
      <c r="B2" s="4" t="s">
        <v>28</v>
      </c>
      <c r="C2" s="4" t="s">
        <v>433</v>
      </c>
      <c r="D2" s="227"/>
      <c r="E2" s="227"/>
      <c r="F2" s="4" t="s">
        <v>547</v>
      </c>
      <c r="G2" s="4" t="s">
        <v>503</v>
      </c>
      <c r="H2" s="4" t="s">
        <v>565</v>
      </c>
      <c r="I2" s="4" t="s">
        <v>565</v>
      </c>
      <c r="J2" s="4" t="s">
        <v>573</v>
      </c>
      <c r="K2" s="4" t="s">
        <v>566</v>
      </c>
      <c r="L2" s="4" t="s">
        <v>567</v>
      </c>
      <c r="M2" s="4" t="s">
        <v>568</v>
      </c>
      <c r="N2" s="4" t="s">
        <v>568</v>
      </c>
      <c r="O2" s="4" t="s">
        <v>472</v>
      </c>
      <c r="P2" s="82" t="s">
        <v>467</v>
      </c>
      <c r="Q2" s="23" t="s">
        <v>421</v>
      </c>
      <c r="S2" s="129" t="s">
        <v>452</v>
      </c>
      <c r="T2" s="109" t="s">
        <v>553</v>
      </c>
    </row>
    <row r="3" spans="1:26" ht="72.599999999999994" thickTop="1" x14ac:dyDescent="0.3">
      <c r="A3" s="40" t="s">
        <v>469</v>
      </c>
      <c r="B3" s="48" t="str">
        <f>ΓΕΝΙΚΑ!C4</f>
        <v>WIND</v>
      </c>
      <c r="C3" s="138" t="s">
        <v>434</v>
      </c>
      <c r="D3" s="231">
        <f>IF(S3="",IF(ΓΕΝΙΚΑ!$B$20="ΝΑΙ",15300,""),"")</f>
        <v>15300</v>
      </c>
      <c r="E3" s="221" t="str">
        <f>IF(ΓΕΝΙΚΑ!$B$22="ΝΑΙ","ΠΑΝΕΛΛΑΔΙΚΑ","")</f>
        <v>ΠΑΝΕΛΛΑΔΙΚΑ</v>
      </c>
      <c r="F3" s="41" t="s">
        <v>555</v>
      </c>
      <c r="G3" s="5">
        <v>50</v>
      </c>
      <c r="H3" s="139">
        <v>33.681316030550931</v>
      </c>
      <c r="I3" s="246">
        <f t="shared" ref="I3:I30" si="0">IF(ISNUMBER(H3),ROUND(H3,2),"")</f>
        <v>33.68</v>
      </c>
      <c r="J3" s="139">
        <v>47.262295080559873</v>
      </c>
      <c r="K3" s="143">
        <f>IF(ISNUMBER(J3),ROUND(J3,2),"")</f>
        <v>47.26</v>
      </c>
      <c r="L3" s="57">
        <f>IF(AND(ISNUMBER(H3),ISNUMBER(J3)),ROUND(H3+J3,0),IF(ISNUMBER(H3),ROUND(H3,0),IF(ISNUMBER(J3),ROUND(J3,0),"N/A")))</f>
        <v>81</v>
      </c>
      <c r="M3" s="156">
        <v>24.628055555555601</v>
      </c>
      <c r="N3" s="289">
        <f>IF(ISNUMBER(M3),ROUND(M3,0),"")</f>
        <v>25</v>
      </c>
      <c r="O3" s="248" t="s">
        <v>933</v>
      </c>
      <c r="P3" s="244" t="s">
        <v>925</v>
      </c>
      <c r="Q3" s="245" t="s">
        <v>925</v>
      </c>
      <c r="S3" s="130" t="str">
        <f>IF(T3="","","ΣΦΑΛΜΑ")</f>
        <v/>
      </c>
      <c r="T3" s="194" t="str">
        <f>CONCATENATE(IF(NOT(ISNUMBER(H3)),U3,IF(H3&gt;H17,W3,"")),IF(J3&gt;J17,X3,""))</f>
        <v/>
      </c>
      <c r="U3" s="193" t="s">
        <v>575</v>
      </c>
      <c r="V3" s="193" t="s">
        <v>917</v>
      </c>
      <c r="W3" s="193" t="s">
        <v>918</v>
      </c>
      <c r="X3" s="193" t="s">
        <v>919</v>
      </c>
      <c r="Y3" s="193" t="s">
        <v>920</v>
      </c>
      <c r="Z3" s="193" t="s">
        <v>579</v>
      </c>
    </row>
    <row r="4" spans="1:26" ht="72" x14ac:dyDescent="0.3">
      <c r="A4" s="42" t="str">
        <f t="shared" ref="A4:B30" si="1">A$3</f>
        <v>B07</v>
      </c>
      <c r="B4" s="39" t="str">
        <f t="shared" si="1"/>
        <v>WIND</v>
      </c>
      <c r="C4" s="39" t="str">
        <f t="shared" ref="C4:C30" si="2">$C$3</f>
        <v>Άμεση</v>
      </c>
      <c r="D4" s="219">
        <f>IF(S4="",IF(ΓΕΝΙΚΑ!$B$20="ΝΑΙ",14664,""),"")</f>
        <v>14664</v>
      </c>
      <c r="E4" s="222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40">
        <v>42.804771329372549</v>
      </c>
      <c r="I4" s="246">
        <f t="shared" si="0"/>
        <v>42.8</v>
      </c>
      <c r="J4" s="140">
        <v>48.256062003960778</v>
      </c>
      <c r="K4" s="246">
        <f t="shared" ref="K4:K30" si="3">IF(ISNUMBER(J4),ROUND(J4,2),"")</f>
        <v>48.26</v>
      </c>
      <c r="L4" s="57">
        <f t="shared" ref="L4:L30" si="4">IF(AND(ISNUMBER(H4),ISNUMBER(J4)),ROUND(H4+J4,0),IF(ISNUMBER(H4),ROUND(H4,0),IF(ISNUMBER(J4),ROUND(J4,0),"N/A")))</f>
        <v>91</v>
      </c>
      <c r="M4" s="157">
        <v>23.2158333333333</v>
      </c>
      <c r="N4" s="289">
        <f t="shared" ref="N4:N30" si="5">IF(ISNUMBER(M4),ROUND(M4,0),"")</f>
        <v>23</v>
      </c>
      <c r="O4" s="262" t="str">
        <f>O$3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4" s="262" t="str">
        <f t="shared" ref="P4:Q30" si="6">P$3</f>
        <v/>
      </c>
      <c r="Q4" s="263" t="str">
        <f t="shared" si="6"/>
        <v/>
      </c>
      <c r="S4" s="130" t="str">
        <f t="shared" ref="S4:S30" si="7">IF(T4="","","ΣΦΑΛΜΑ")</f>
        <v/>
      </c>
      <c r="T4" s="194" t="str">
        <f>IF(ΠΕΡΙΦΕΡΕΙΑ!B2="Καθόλου",IF(OR(H4&lt;&gt;"",J4&lt;&gt;""),"Η περιφέρεια δεν καλύπτεται",""),CONCATENATE(IF(NOT(ISNUMBER(H4)),U4,IF(H4&gt;H18,W4,"")),IF(J4&gt;J18,X4,"")))</f>
        <v/>
      </c>
      <c r="U4" s="193" t="s">
        <v>575</v>
      </c>
      <c r="V4" s="193" t="s">
        <v>917</v>
      </c>
      <c r="W4" s="193" t="s">
        <v>918</v>
      </c>
      <c r="X4" s="193" t="s">
        <v>919</v>
      </c>
      <c r="Y4" s="193" t="s">
        <v>920</v>
      </c>
      <c r="Z4" s="193" t="s">
        <v>579</v>
      </c>
    </row>
    <row r="5" spans="1:26" ht="72" x14ac:dyDescent="0.3">
      <c r="A5" s="42" t="str">
        <f t="shared" si="1"/>
        <v>B07</v>
      </c>
      <c r="B5" s="39" t="str">
        <f t="shared" si="1"/>
        <v>WIND</v>
      </c>
      <c r="C5" s="39" t="str">
        <f t="shared" si="2"/>
        <v>Άμεση</v>
      </c>
      <c r="D5" s="232">
        <f>IF(S5="",IF(ΓΕΝΙΚΑ!$B$20="ΝΑΙ",14666,""),"")</f>
        <v>14666</v>
      </c>
      <c r="E5" s="223" t="str">
        <f>IF(ΓΕΝΙΚΑ!$B$22="ΝΑΙ","Π. ΑΤΤΙΚΗΣ","")</f>
        <v>Π. ΑΤΤΙΚΗΣ</v>
      </c>
      <c r="F5" s="7" t="s">
        <v>40</v>
      </c>
      <c r="G5" s="7">
        <v>50</v>
      </c>
      <c r="H5" s="140">
        <v>30.445171201942841</v>
      </c>
      <c r="I5" s="246">
        <f t="shared" si="0"/>
        <v>30.45</v>
      </c>
      <c r="J5" s="140">
        <v>43.821773242501997</v>
      </c>
      <c r="K5" s="246">
        <f t="shared" si="3"/>
        <v>43.82</v>
      </c>
      <c r="L5" s="57">
        <f t="shared" si="4"/>
        <v>74</v>
      </c>
      <c r="M5" s="157">
        <v>24.429166666666699</v>
      </c>
      <c r="N5" s="289">
        <f t="shared" si="5"/>
        <v>24</v>
      </c>
      <c r="O5" s="262" t="str">
        <f t="shared" ref="O5:O30" si="8">O$3</f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5" s="262" t="str">
        <f t="shared" si="6"/>
        <v/>
      </c>
      <c r="Q5" s="263" t="str">
        <f t="shared" si="6"/>
        <v/>
      </c>
      <c r="S5" s="130" t="str">
        <f t="shared" si="7"/>
        <v/>
      </c>
      <c r="T5" s="194" t="str">
        <f>IF(ΠΕΡΙΦΕΡΕΙΑ!B3="Καθόλου",IF(OR(H5&lt;&gt;"",J5&lt;&gt;""),"Η περιφέρεια δεν καλύπτεται",""),CONCATENATE(IF(NOT(ISNUMBER(H5)),U5,IF(H5&gt;H19,W5,"")),IF(J5&gt;J19,X5,"")))</f>
        <v/>
      </c>
      <c r="U5" s="193" t="s">
        <v>575</v>
      </c>
      <c r="V5" s="193" t="s">
        <v>917</v>
      </c>
      <c r="W5" s="193" t="s">
        <v>918</v>
      </c>
      <c r="X5" s="193" t="s">
        <v>919</v>
      </c>
      <c r="Y5" s="193" t="s">
        <v>920</v>
      </c>
      <c r="Z5" s="193" t="s">
        <v>579</v>
      </c>
    </row>
    <row r="6" spans="1:26" ht="72" x14ac:dyDescent="0.3">
      <c r="A6" s="42" t="str">
        <f t="shared" si="1"/>
        <v>B07</v>
      </c>
      <c r="B6" s="39" t="str">
        <f t="shared" si="1"/>
        <v>WIND</v>
      </c>
      <c r="C6" s="39" t="str">
        <f t="shared" si="2"/>
        <v>Άμεση</v>
      </c>
      <c r="D6" s="219">
        <f>IF(S3="",IF(ΓΕΝΙΚΑ!$B$20="ΝΑΙ",14668,""),"")</f>
        <v>14668</v>
      </c>
      <c r="E6" s="222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40">
        <v>29.084225236398964</v>
      </c>
      <c r="I6" s="246">
        <f t="shared" si="0"/>
        <v>29.08</v>
      </c>
      <c r="J6" s="140">
        <v>50.775774763601028</v>
      </c>
      <c r="K6" s="246">
        <f t="shared" si="3"/>
        <v>50.78</v>
      </c>
      <c r="L6" s="57">
        <f t="shared" si="4"/>
        <v>80</v>
      </c>
      <c r="M6" s="157">
        <v>8.0144444444444503</v>
      </c>
      <c r="N6" s="289">
        <f t="shared" si="5"/>
        <v>8</v>
      </c>
      <c r="O6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6" s="262" t="str">
        <f t="shared" si="6"/>
        <v/>
      </c>
      <c r="Q6" s="263" t="str">
        <f t="shared" si="6"/>
        <v/>
      </c>
      <c r="S6" s="130" t="str">
        <f t="shared" si="7"/>
        <v/>
      </c>
      <c r="T6" s="194" t="str">
        <f>IF(ΠΕΡΙΦΕΡΕΙΑ!B4="Καθόλου",IF(OR(H6&lt;&gt;"",J6&lt;&gt;""),"Η περιφέρεια δεν καλύπτεται",""),CONCATENATE(IF(NOT(ISNUMBER(H6)),U6,IF(H6&gt;H20,W6,"")),IF(J6&gt;J20,X6,"")))</f>
        <v/>
      </c>
      <c r="U6" s="193" t="s">
        <v>575</v>
      </c>
      <c r="V6" s="193" t="s">
        <v>917</v>
      </c>
      <c r="W6" s="193" t="s">
        <v>918</v>
      </c>
      <c r="X6" s="193" t="s">
        <v>919</v>
      </c>
      <c r="Y6" s="193" t="s">
        <v>920</v>
      </c>
      <c r="Z6" s="193" t="s">
        <v>579</v>
      </c>
    </row>
    <row r="7" spans="1:26" ht="72" x14ac:dyDescent="0.3">
      <c r="A7" s="42" t="str">
        <f t="shared" si="1"/>
        <v>B07</v>
      </c>
      <c r="B7" s="39" t="str">
        <f t="shared" si="1"/>
        <v>WIND</v>
      </c>
      <c r="C7" s="39" t="str">
        <f t="shared" si="2"/>
        <v>Άμεση</v>
      </c>
      <c r="D7" s="232">
        <f>IF(S7="",IF(ΓΕΝΙΚΑ!$B$20="ΝΑΙ",14670,""),"")</f>
        <v>14670</v>
      </c>
      <c r="E7" s="223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40">
        <v>31.954940628797836</v>
      </c>
      <c r="I7" s="246">
        <f t="shared" si="0"/>
        <v>31.95</v>
      </c>
      <c r="J7" s="140">
        <v>44.18950381564666</v>
      </c>
      <c r="K7" s="246">
        <f t="shared" si="3"/>
        <v>44.19</v>
      </c>
      <c r="L7" s="57">
        <f t="shared" si="4"/>
        <v>76</v>
      </c>
      <c r="M7" s="157">
        <v>27.8544444444444</v>
      </c>
      <c r="N7" s="289">
        <f t="shared" si="5"/>
        <v>28</v>
      </c>
      <c r="O7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7" s="262" t="str">
        <f t="shared" si="6"/>
        <v/>
      </c>
      <c r="Q7" s="263" t="str">
        <f t="shared" si="6"/>
        <v/>
      </c>
      <c r="S7" s="130" t="str">
        <f t="shared" si="7"/>
        <v/>
      </c>
      <c r="T7" s="194" t="str">
        <f>IF(ΠΕΡΙΦΕΡΕΙΑ!B5="Καθόλου",IF(OR(H7&lt;&gt;"",J7&lt;&gt;""),"Η περιφέρεια δεν καλύπτεται",""),CONCATENATE(IF(NOT(ISNUMBER(H7)),U7,IF(H7&gt;H21,W7,"")),IF(J7&gt;J21,X7,"")))</f>
        <v/>
      </c>
      <c r="U7" s="193" t="s">
        <v>575</v>
      </c>
      <c r="V7" s="193" t="s">
        <v>917</v>
      </c>
      <c r="W7" s="193" t="s">
        <v>918</v>
      </c>
      <c r="X7" s="193" t="s">
        <v>919</v>
      </c>
      <c r="Y7" s="193" t="s">
        <v>920</v>
      </c>
      <c r="Z7" s="193" t="s">
        <v>579</v>
      </c>
    </row>
    <row r="8" spans="1:26" ht="72" x14ac:dyDescent="0.3">
      <c r="A8" s="42" t="str">
        <f t="shared" si="1"/>
        <v>B07</v>
      </c>
      <c r="B8" s="39" t="str">
        <f t="shared" si="1"/>
        <v>WIND</v>
      </c>
      <c r="C8" s="39" t="str">
        <f t="shared" si="2"/>
        <v>Άμεση</v>
      </c>
      <c r="D8" s="219">
        <f>IF(S8="",IF(ΓΕΝΙΚΑ!$B$20="ΝΑΙ",14672,""),"")</f>
        <v>14672</v>
      </c>
      <c r="E8" s="222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40">
        <v>44.923375186604417</v>
      </c>
      <c r="I8" s="246">
        <f t="shared" si="0"/>
        <v>44.92</v>
      </c>
      <c r="J8" s="140">
        <v>50.32245814672887</v>
      </c>
      <c r="K8" s="246">
        <f t="shared" si="3"/>
        <v>50.32</v>
      </c>
      <c r="L8" s="57">
        <f t="shared" si="4"/>
        <v>95</v>
      </c>
      <c r="M8" s="157">
        <v>27.984999999999999</v>
      </c>
      <c r="N8" s="289">
        <f t="shared" si="5"/>
        <v>28</v>
      </c>
      <c r="O8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8" s="262" t="str">
        <f t="shared" si="6"/>
        <v/>
      </c>
      <c r="Q8" s="263" t="str">
        <f t="shared" si="6"/>
        <v/>
      </c>
      <c r="S8" s="130" t="str">
        <f t="shared" si="7"/>
        <v/>
      </c>
      <c r="T8" s="194" t="str">
        <f>IF(ΠΕΡΙΦΕΡΕΙΑ!B6="Καθόλου",IF(OR(H8&lt;&gt;"",J8&lt;&gt;""),"Η περιφέρεια δεν καλύπτεται",""),CONCATENATE(IF(NOT(ISNUMBER(H8)),U8,IF(H8&gt;H22,W8,"")),IF(J8&gt;J22,X8,"")))</f>
        <v/>
      </c>
      <c r="U8" s="193" t="s">
        <v>575</v>
      </c>
      <c r="V8" s="193" t="s">
        <v>917</v>
      </c>
      <c r="W8" s="193" t="s">
        <v>918</v>
      </c>
      <c r="X8" s="193" t="s">
        <v>919</v>
      </c>
      <c r="Y8" s="193" t="s">
        <v>920</v>
      </c>
      <c r="Z8" s="193" t="s">
        <v>579</v>
      </c>
    </row>
    <row r="9" spans="1:26" ht="72" x14ac:dyDescent="0.3">
      <c r="A9" s="42" t="str">
        <f t="shared" si="1"/>
        <v>B07</v>
      </c>
      <c r="B9" s="39" t="str">
        <f t="shared" si="1"/>
        <v>WIND</v>
      </c>
      <c r="C9" s="39" t="str">
        <f t="shared" si="2"/>
        <v>Άμεση</v>
      </c>
      <c r="D9" s="232">
        <f>IF(S9="",IF(ΓΕΝΙΚΑ!$B$20="ΝΑΙ",14674,""),"")</f>
        <v>14674</v>
      </c>
      <c r="E9" s="223" t="str">
        <f>IF(ΓΕΝΙΚΑ!$B$22="ΝΑΙ","Π. ΗΠΕΙΡΟΥ","")</f>
        <v>Π. ΗΠΕΙΡΟΥ</v>
      </c>
      <c r="F9" s="7" t="s">
        <v>407</v>
      </c>
      <c r="G9" s="7">
        <v>50</v>
      </c>
      <c r="H9" s="140">
        <v>42.338826872678979</v>
      </c>
      <c r="I9" s="246">
        <f t="shared" si="0"/>
        <v>42.34</v>
      </c>
      <c r="J9" s="140">
        <v>57.817839793988014</v>
      </c>
      <c r="K9" s="246">
        <f t="shared" si="3"/>
        <v>57.82</v>
      </c>
      <c r="L9" s="57">
        <f t="shared" si="4"/>
        <v>100</v>
      </c>
      <c r="M9" s="157">
        <v>25.303888888888899</v>
      </c>
      <c r="N9" s="289">
        <f t="shared" si="5"/>
        <v>25</v>
      </c>
      <c r="O9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9" s="262" t="str">
        <f t="shared" si="6"/>
        <v/>
      </c>
      <c r="Q9" s="263" t="str">
        <f t="shared" si="6"/>
        <v/>
      </c>
      <c r="S9" s="130" t="str">
        <f t="shared" si="7"/>
        <v/>
      </c>
      <c r="T9" s="194" t="str">
        <f>IF(ΠΕΡΙΦΕΡΕΙΑ!B7="Καθόλου",IF(OR(H9&lt;&gt;"",J9&lt;&gt;""),"Η περιφέρεια δεν καλύπτεται",""),CONCATENATE(IF(NOT(ISNUMBER(H9)),U9,IF(H9&gt;H23,W9,"")),IF(J9&gt;J23,X9,"")))</f>
        <v/>
      </c>
      <c r="U9" s="193" t="s">
        <v>575</v>
      </c>
      <c r="V9" s="193" t="s">
        <v>917</v>
      </c>
      <c r="W9" s="193" t="s">
        <v>918</v>
      </c>
      <c r="X9" s="193" t="s">
        <v>919</v>
      </c>
      <c r="Y9" s="193" t="s">
        <v>920</v>
      </c>
      <c r="Z9" s="193" t="s">
        <v>579</v>
      </c>
    </row>
    <row r="10" spans="1:26" ht="72" x14ac:dyDescent="0.3">
      <c r="A10" s="42" t="str">
        <f t="shared" si="1"/>
        <v>B07</v>
      </c>
      <c r="B10" s="39" t="str">
        <f t="shared" si="1"/>
        <v>WIND</v>
      </c>
      <c r="C10" s="39" t="str">
        <f t="shared" si="2"/>
        <v>Άμεση</v>
      </c>
      <c r="D10" s="219">
        <f>IF(S10="",IF(ΓΕΝΙΚΑ!$B$20="ΝΑΙ",14676,""),"")</f>
        <v>14676</v>
      </c>
      <c r="E10" s="222" t="str">
        <f>IF(ΓΕΝΙΚΑ!$B$22="ΝΑΙ","Π. ΘΕΣΣΑΛΙΑΣ","")</f>
        <v>Π. ΘΕΣΣΑΛΙΑΣ</v>
      </c>
      <c r="F10" s="7" t="s">
        <v>408</v>
      </c>
      <c r="G10" s="7">
        <v>50</v>
      </c>
      <c r="H10" s="140">
        <v>42.271805931374182</v>
      </c>
      <c r="I10" s="246">
        <f t="shared" si="0"/>
        <v>42.27</v>
      </c>
      <c r="J10" s="140">
        <v>53.83624962418132</v>
      </c>
      <c r="K10" s="246">
        <f t="shared" si="3"/>
        <v>53.84</v>
      </c>
      <c r="L10" s="57">
        <f t="shared" si="4"/>
        <v>96</v>
      </c>
      <c r="M10" s="157">
        <v>22.962499999999999</v>
      </c>
      <c r="N10" s="289">
        <f t="shared" si="5"/>
        <v>23</v>
      </c>
      <c r="O10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0" s="262" t="str">
        <f t="shared" si="6"/>
        <v/>
      </c>
      <c r="Q10" s="263" t="str">
        <f t="shared" si="6"/>
        <v/>
      </c>
      <c r="S10" s="130" t="str">
        <f t="shared" si="7"/>
        <v/>
      </c>
      <c r="T10" s="194" t="str">
        <f>IF(ΠΕΡΙΦΕΡΕΙΑ!B8="Καθόλου",IF(OR(H10&lt;&gt;"",J10&lt;&gt;""),"Η περιφέρεια δεν καλύπτεται",""),CONCATENATE(IF(NOT(ISNUMBER(H10)),U10,IF(H10&gt;H24,W10,"")),IF(J10&gt;J24,X10,"")))</f>
        <v/>
      </c>
      <c r="U10" s="193" t="s">
        <v>575</v>
      </c>
      <c r="V10" s="193" t="s">
        <v>917</v>
      </c>
      <c r="W10" s="193" t="s">
        <v>918</v>
      </c>
      <c r="X10" s="193" t="s">
        <v>919</v>
      </c>
      <c r="Y10" s="193" t="s">
        <v>920</v>
      </c>
      <c r="Z10" s="193" t="s">
        <v>579</v>
      </c>
    </row>
    <row r="11" spans="1:26" ht="72" x14ac:dyDescent="0.3">
      <c r="A11" s="42" t="str">
        <f t="shared" si="1"/>
        <v>B07</v>
      </c>
      <c r="B11" s="39" t="str">
        <f t="shared" si="1"/>
        <v>WIND</v>
      </c>
      <c r="C11" s="39" t="str">
        <f t="shared" si="2"/>
        <v>Άμεση</v>
      </c>
      <c r="D11" s="232">
        <f>IF(S11="",IF(ΓΕΝΙΚΑ!$B$20="ΝΑΙ",14678,""),"")</f>
        <v>14678</v>
      </c>
      <c r="E11" s="223" t="str">
        <f>IF(ΓΕΝΙΚΑ!$B$22="ΝΑΙ","Π. ΙΟΝΙΩΝ ΝΗΣΩΝ","")</f>
        <v>Π. ΙΟΝΙΩΝ ΝΗΣΩΝ</v>
      </c>
      <c r="F11" s="7" t="s">
        <v>409</v>
      </c>
      <c r="G11" s="7">
        <v>50</v>
      </c>
      <c r="H11" s="140">
        <v>40.93151456456161</v>
      </c>
      <c r="I11" s="246">
        <f t="shared" si="0"/>
        <v>40.93</v>
      </c>
      <c r="J11" s="140">
        <v>50.914318768771679</v>
      </c>
      <c r="K11" s="246">
        <f t="shared" si="3"/>
        <v>50.91</v>
      </c>
      <c r="L11" s="57">
        <f t="shared" si="4"/>
        <v>92</v>
      </c>
      <c r="M11" s="157">
        <v>26.04</v>
      </c>
      <c r="N11" s="289">
        <f t="shared" si="5"/>
        <v>26</v>
      </c>
      <c r="O11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1" s="262" t="str">
        <f t="shared" si="6"/>
        <v/>
      </c>
      <c r="Q11" s="263" t="str">
        <f t="shared" si="6"/>
        <v/>
      </c>
      <c r="S11" s="130" t="str">
        <f t="shared" si="7"/>
        <v/>
      </c>
      <c r="T11" s="194" t="str">
        <f>IF(ΠΕΡΙΦΕΡΕΙΑ!B9="Καθόλου",IF(OR(H11&lt;&gt;"",J11&lt;&gt;""),"Η περιφέρεια δεν καλύπτεται",""),CONCATENATE(IF(NOT(ISNUMBER(H11)),U11,IF(H11&gt;H25,W11,"")),IF(J11&gt;J25,X11,"")))</f>
        <v/>
      </c>
      <c r="U11" s="193" t="s">
        <v>575</v>
      </c>
      <c r="V11" s="193" t="s">
        <v>917</v>
      </c>
      <c r="W11" s="193" t="s">
        <v>918</v>
      </c>
      <c r="X11" s="193" t="s">
        <v>919</v>
      </c>
      <c r="Y11" s="193" t="s">
        <v>920</v>
      </c>
      <c r="Z11" s="193" t="s">
        <v>579</v>
      </c>
    </row>
    <row r="12" spans="1:26" ht="72" x14ac:dyDescent="0.3">
      <c r="A12" s="42" t="str">
        <f t="shared" si="1"/>
        <v>B07</v>
      </c>
      <c r="B12" s="39" t="str">
        <f t="shared" si="1"/>
        <v>WIND</v>
      </c>
      <c r="C12" s="39" t="str">
        <f t="shared" si="2"/>
        <v>Άμεση</v>
      </c>
      <c r="D12" s="219">
        <f>IF(S12="",IF(ΓΕΝΙΚΑ!$B$20="ΝΑΙ",14680,""),"")</f>
        <v>14680</v>
      </c>
      <c r="E12" s="222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40">
        <v>39.539719926191921</v>
      </c>
      <c r="I12" s="246">
        <f t="shared" si="0"/>
        <v>39.54</v>
      </c>
      <c r="J12" s="140">
        <v>50.66778007380811</v>
      </c>
      <c r="K12" s="246">
        <f t="shared" si="3"/>
        <v>50.67</v>
      </c>
      <c r="L12" s="57">
        <f t="shared" si="4"/>
        <v>90</v>
      </c>
      <c r="M12" s="157">
        <v>23.9727777777778</v>
      </c>
      <c r="N12" s="289">
        <f t="shared" si="5"/>
        <v>24</v>
      </c>
      <c r="O12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2" s="262" t="str">
        <f t="shared" si="6"/>
        <v/>
      </c>
      <c r="Q12" s="263" t="str">
        <f t="shared" si="6"/>
        <v/>
      </c>
      <c r="S12" s="130" t="str">
        <f t="shared" si="7"/>
        <v/>
      </c>
      <c r="T12" s="194" t="str">
        <f>IF(ΠΕΡΙΦΕΡΕΙΑ!B10="Καθόλου",IF(OR(H12&lt;&gt;"",J12&lt;&gt;""),"Η περιφέρεια δεν καλύπτεται",""),CONCATENATE(IF(NOT(ISNUMBER(H12)),U12,IF(H12&gt;H26,W12,"")),IF(J12&gt;J26,X12,"")))</f>
        <v/>
      </c>
      <c r="U12" s="193" t="s">
        <v>575</v>
      </c>
      <c r="V12" s="193" t="s">
        <v>917</v>
      </c>
      <c r="W12" s="193" t="s">
        <v>918</v>
      </c>
      <c r="X12" s="193" t="s">
        <v>919</v>
      </c>
      <c r="Y12" s="193" t="s">
        <v>920</v>
      </c>
      <c r="Z12" s="193" t="s">
        <v>579</v>
      </c>
    </row>
    <row r="13" spans="1:26" ht="72" x14ac:dyDescent="0.3">
      <c r="A13" s="42" t="str">
        <f t="shared" si="1"/>
        <v>B07</v>
      </c>
      <c r="B13" s="39" t="str">
        <f t="shared" si="1"/>
        <v>WIND</v>
      </c>
      <c r="C13" s="39" t="str">
        <f t="shared" si="2"/>
        <v>Άμεση</v>
      </c>
      <c r="D13" s="232">
        <f>IF(S13="",IF(ΓΕΝΙΚΑ!$B$20="ΝΑΙ",14682,""),"")</f>
        <v>14682</v>
      </c>
      <c r="E13" s="223" t="str">
        <f>IF(ΓΕΝΙΚΑ!$B$22="ΝΑΙ","Π. ΚΡΗΤΗΣ","")</f>
        <v>Π. ΚΡΗΤΗΣ</v>
      </c>
      <c r="F13" s="7" t="s">
        <v>411</v>
      </c>
      <c r="G13" s="7">
        <v>50</v>
      </c>
      <c r="H13" s="140">
        <v>27.306429754146091</v>
      </c>
      <c r="I13" s="246">
        <f t="shared" si="0"/>
        <v>27.31</v>
      </c>
      <c r="J13" s="140">
        <v>46.853014690298373</v>
      </c>
      <c r="K13" s="246">
        <f t="shared" si="3"/>
        <v>46.85</v>
      </c>
      <c r="L13" s="57">
        <f t="shared" si="4"/>
        <v>74</v>
      </c>
      <c r="M13" s="157">
        <v>21.552499999999998</v>
      </c>
      <c r="N13" s="289">
        <f t="shared" si="5"/>
        <v>22</v>
      </c>
      <c r="O13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3" s="262" t="str">
        <f t="shared" si="6"/>
        <v/>
      </c>
      <c r="Q13" s="263" t="str">
        <f t="shared" si="6"/>
        <v/>
      </c>
      <c r="S13" s="130" t="str">
        <f t="shared" si="7"/>
        <v/>
      </c>
      <c r="T13" s="194" t="str">
        <f>IF(ΠΕΡΙΦΕΡΕΙΑ!B11="Καθόλου",IF(OR(H13&lt;&gt;"",J13&lt;&gt;""),"Η περιφέρεια δεν καλύπτεται",""),CONCATENATE(IF(NOT(ISNUMBER(H13)),U13,IF(H13&gt;H27,W13,"")),IF(J13&gt;J27,X13,"")))</f>
        <v/>
      </c>
      <c r="U13" s="193" t="s">
        <v>575</v>
      </c>
      <c r="V13" s="193" t="s">
        <v>917</v>
      </c>
      <c r="W13" s="193" t="s">
        <v>918</v>
      </c>
      <c r="X13" s="193" t="s">
        <v>919</v>
      </c>
      <c r="Y13" s="193" t="s">
        <v>920</v>
      </c>
      <c r="Z13" s="193" t="s">
        <v>579</v>
      </c>
    </row>
    <row r="14" spans="1:26" ht="72" x14ac:dyDescent="0.3">
      <c r="A14" s="42" t="str">
        <f t="shared" si="1"/>
        <v>B07</v>
      </c>
      <c r="B14" s="39" t="str">
        <f t="shared" si="1"/>
        <v>WIND</v>
      </c>
      <c r="C14" s="39" t="str">
        <f t="shared" si="2"/>
        <v>Άμεση</v>
      </c>
      <c r="D14" s="219">
        <f>IF(S14="",IF(ΓΕΝΙΚΑ!$B$20="ΝΑΙ",14684,""),"")</f>
        <v>14684</v>
      </c>
      <c r="E14" s="222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40">
        <v>37.076514138977068</v>
      </c>
      <c r="I14" s="246">
        <f t="shared" si="0"/>
        <v>37.08</v>
      </c>
      <c r="J14" s="140">
        <v>52.251263638800737</v>
      </c>
      <c r="K14" s="246">
        <f t="shared" si="3"/>
        <v>52.25</v>
      </c>
      <c r="L14" s="57">
        <f t="shared" si="4"/>
        <v>89</v>
      </c>
      <c r="M14" s="157">
        <v>27.2297222222222</v>
      </c>
      <c r="N14" s="289">
        <f t="shared" si="5"/>
        <v>27</v>
      </c>
      <c r="O14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4" s="262" t="str">
        <f t="shared" si="6"/>
        <v/>
      </c>
      <c r="Q14" s="263" t="str">
        <f t="shared" si="6"/>
        <v/>
      </c>
      <c r="S14" s="130" t="str">
        <f t="shared" si="7"/>
        <v/>
      </c>
      <c r="T14" s="194" t="str">
        <f>IF(ΠΕΡΙΦΕΡΕΙΑ!B12="Καθόλου",IF(OR(H14&lt;&gt;"",J14&lt;&gt;""),"Η περιφέρεια δεν καλύπτεται",""),CONCATENATE(IF(NOT(ISNUMBER(H14)),U14,IF(H14&gt;H28,W14,"")),IF(J14&gt;J28,X14,"")))</f>
        <v/>
      </c>
      <c r="U14" s="193" t="s">
        <v>575</v>
      </c>
      <c r="V14" s="193" t="s">
        <v>917</v>
      </c>
      <c r="W14" s="193" t="s">
        <v>918</v>
      </c>
      <c r="X14" s="193" t="s">
        <v>919</v>
      </c>
      <c r="Y14" s="193" t="s">
        <v>920</v>
      </c>
      <c r="Z14" s="193" t="s">
        <v>579</v>
      </c>
    </row>
    <row r="15" spans="1:26" ht="72" x14ac:dyDescent="0.3">
      <c r="A15" s="42" t="str">
        <f t="shared" si="1"/>
        <v>B07</v>
      </c>
      <c r="B15" s="39" t="str">
        <f t="shared" si="1"/>
        <v>WIND</v>
      </c>
      <c r="C15" s="39" t="str">
        <f t="shared" si="2"/>
        <v>Άμεση</v>
      </c>
      <c r="D15" s="232">
        <f>IF(S15="",IF(ΓΕΝΙΚΑ!$B$20="ΝΑΙ",14686,""),"")</f>
        <v>14686</v>
      </c>
      <c r="E15" s="223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40">
        <v>36.944415317793698</v>
      </c>
      <c r="I15" s="246">
        <f t="shared" si="0"/>
        <v>36.94</v>
      </c>
      <c r="J15" s="140">
        <v>54.210862459984128</v>
      </c>
      <c r="K15" s="246">
        <f t="shared" si="3"/>
        <v>54.21</v>
      </c>
      <c r="L15" s="57">
        <f t="shared" si="4"/>
        <v>91</v>
      </c>
      <c r="M15" s="157">
        <v>37.709166666666704</v>
      </c>
      <c r="N15" s="289">
        <f t="shared" si="5"/>
        <v>38</v>
      </c>
      <c r="O15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5" s="262" t="str">
        <f t="shared" si="6"/>
        <v/>
      </c>
      <c r="Q15" s="263" t="str">
        <f t="shared" si="6"/>
        <v/>
      </c>
      <c r="S15" s="130" t="str">
        <f t="shared" si="7"/>
        <v/>
      </c>
      <c r="T15" s="194" t="str">
        <f>IF(ΠΕΡΙΦΕΡΕΙΑ!B13="Καθόλου",IF(OR(H15&lt;&gt;"",J15&lt;&gt;""),"Η περιφέρεια δεν καλύπτεται",""),CONCATENATE(IF(NOT(ISNUMBER(H15)),U15,IF(H15&gt;H29,W15,"")),IF(J15&gt;J29,X15,"")))</f>
        <v/>
      </c>
      <c r="U15" s="193" t="s">
        <v>575</v>
      </c>
      <c r="V15" s="193" t="s">
        <v>917</v>
      </c>
      <c r="W15" s="193" t="s">
        <v>918</v>
      </c>
      <c r="X15" s="193" t="s">
        <v>919</v>
      </c>
      <c r="Y15" s="193" t="s">
        <v>920</v>
      </c>
      <c r="Z15" s="193" t="s">
        <v>579</v>
      </c>
    </row>
    <row r="16" spans="1:26" ht="72.599999999999994" thickBot="1" x14ac:dyDescent="0.35">
      <c r="A16" s="42" t="str">
        <f t="shared" si="1"/>
        <v>B07</v>
      </c>
      <c r="B16" s="39" t="str">
        <f t="shared" si="1"/>
        <v>WIND</v>
      </c>
      <c r="C16" s="39" t="str">
        <f t="shared" si="2"/>
        <v>Άμεση</v>
      </c>
      <c r="D16" s="220">
        <f>IF(S16="",IF(ΓΕΝΙΚΑ!$B$20="ΝΑΙ",14688,""),"")</f>
        <v>14688</v>
      </c>
      <c r="E16" s="224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41">
        <v>41.196273306878346</v>
      </c>
      <c r="I16" s="246">
        <f t="shared" si="0"/>
        <v>41.2</v>
      </c>
      <c r="J16" s="141">
        <v>50.547337804232676</v>
      </c>
      <c r="K16" s="246">
        <f t="shared" si="3"/>
        <v>50.55</v>
      </c>
      <c r="L16" s="305">
        <f t="shared" si="4"/>
        <v>92</v>
      </c>
      <c r="M16" s="158">
        <v>24.1311111111111</v>
      </c>
      <c r="N16" s="289">
        <f t="shared" si="5"/>
        <v>24</v>
      </c>
      <c r="O16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6" s="262" t="str">
        <f t="shared" si="6"/>
        <v/>
      </c>
      <c r="Q16" s="263" t="str">
        <f t="shared" si="6"/>
        <v/>
      </c>
      <c r="S16" s="130" t="str">
        <f t="shared" si="7"/>
        <v/>
      </c>
      <c r="T16" s="194" t="str">
        <f>IF(ΠΕΡΙΦΕΡΕΙΑ!B14="Καθόλου",IF(OR(H16&lt;&gt;"",J16&lt;&gt;""),"Η περιφέρεια δεν καλύπτεται",""),CONCATENATE(IF(NOT(ISNUMBER(H16)),U16,IF(H16&gt;H30,W16,"")),IF(J16&gt;J30,X16,"")))</f>
        <v/>
      </c>
      <c r="U16" s="193" t="s">
        <v>575</v>
      </c>
      <c r="V16" s="193" t="s">
        <v>917</v>
      </c>
      <c r="W16" s="193" t="s">
        <v>918</v>
      </c>
      <c r="X16" s="193" t="s">
        <v>919</v>
      </c>
      <c r="Y16" s="193" t="s">
        <v>920</v>
      </c>
      <c r="Z16" s="193" t="s">
        <v>579</v>
      </c>
    </row>
    <row r="17" spans="1:25" ht="72" x14ac:dyDescent="0.3">
      <c r="A17" s="42" t="str">
        <f t="shared" si="1"/>
        <v>B07</v>
      </c>
      <c r="B17" s="39" t="str">
        <f t="shared" si="1"/>
        <v>WIND</v>
      </c>
      <c r="C17" s="39" t="str">
        <f t="shared" si="2"/>
        <v>Άμεση</v>
      </c>
      <c r="D17" s="231">
        <f>IF(S17="",IF(ΓΕΝΙΚΑ!$B$20="ΝΑΙ",15300,""),"")</f>
        <v>15300</v>
      </c>
      <c r="E17" s="221" t="str">
        <f>IF(ΓΕΝΙΚΑ!$B$22="ΝΑΙ","ΠΑΝΕΛΛΑΔΙΚΑ","")</f>
        <v>ΠΑΝΕΛΛΑΔΙΚΑ</v>
      </c>
      <c r="F17" s="8" t="s">
        <v>555</v>
      </c>
      <c r="G17" s="5">
        <v>95</v>
      </c>
      <c r="H17" s="139">
        <v>185.85336835377828</v>
      </c>
      <c r="I17" s="246">
        <f t="shared" si="0"/>
        <v>185.85</v>
      </c>
      <c r="J17" s="139">
        <v>173.62357609066592</v>
      </c>
      <c r="K17" s="246">
        <f t="shared" si="3"/>
        <v>173.62</v>
      </c>
      <c r="L17" s="57">
        <f t="shared" si="4"/>
        <v>359</v>
      </c>
      <c r="M17" s="159">
        <v>212.09888888888901</v>
      </c>
      <c r="N17" s="289">
        <f t="shared" si="5"/>
        <v>212</v>
      </c>
      <c r="O17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7" s="262" t="str">
        <f t="shared" si="6"/>
        <v/>
      </c>
      <c r="Q17" s="263" t="str">
        <f t="shared" si="6"/>
        <v/>
      </c>
      <c r="S17" s="130" t="str">
        <f t="shared" si="7"/>
        <v/>
      </c>
      <c r="T17" s="194" t="str">
        <f>IF(L17="",U3,"")</f>
        <v/>
      </c>
      <c r="Y17" s="193"/>
    </row>
    <row r="18" spans="1:25" ht="72" x14ac:dyDescent="0.3">
      <c r="A18" s="42" t="str">
        <f t="shared" si="1"/>
        <v>B07</v>
      </c>
      <c r="B18" s="39" t="str">
        <f t="shared" si="1"/>
        <v>WIND</v>
      </c>
      <c r="C18" s="39" t="str">
        <f t="shared" si="2"/>
        <v>Άμεση</v>
      </c>
      <c r="D18" s="219">
        <f>IF(S18="",IF(ΓΕΝΙΚΑ!$B$20="ΝΑΙ",14664,""),"")</f>
        <v>14664</v>
      </c>
      <c r="E18" s="222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40">
        <v>231.66737594060231</v>
      </c>
      <c r="I18" s="246">
        <f t="shared" si="0"/>
        <v>231.67</v>
      </c>
      <c r="J18" s="140">
        <v>219.55067961495365</v>
      </c>
      <c r="K18" s="246">
        <f t="shared" si="3"/>
        <v>219.55</v>
      </c>
      <c r="L18" s="57">
        <f t="shared" si="4"/>
        <v>451</v>
      </c>
      <c r="M18" s="157">
        <v>174.87888888888901</v>
      </c>
      <c r="N18" s="289">
        <f t="shared" si="5"/>
        <v>175</v>
      </c>
      <c r="O18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8" s="262" t="str">
        <f t="shared" si="6"/>
        <v/>
      </c>
      <c r="Q18" s="263" t="str">
        <f t="shared" si="6"/>
        <v/>
      </c>
      <c r="S18" s="130" t="str">
        <f t="shared" si="7"/>
        <v/>
      </c>
      <c r="T18" s="194" t="str">
        <f>IF(AND(L18="",ΠΕΡΙΦΕΡΕΙΑ!B2&lt;&gt;"Καθόλου"),U4,IF(AND(ΠΕΡΙΦΕΡΕΙΑ!B2="Καθόλου",OR(H18&lt;&gt;"",J18&lt;&gt;"")),"Η περιφέρεια δεν καλύπτεται",""))</f>
        <v/>
      </c>
      <c r="Y18" s="193"/>
    </row>
    <row r="19" spans="1:25" ht="72" x14ac:dyDescent="0.3">
      <c r="A19" s="42" t="str">
        <f t="shared" si="1"/>
        <v>B07</v>
      </c>
      <c r="B19" s="39" t="str">
        <f t="shared" si="1"/>
        <v>WIND</v>
      </c>
      <c r="C19" s="39" t="str">
        <f t="shared" si="2"/>
        <v>Άμεση</v>
      </c>
      <c r="D19" s="232">
        <f>IF(S19="",IF(ΓΕΝΙΚΑ!$B$20="ΝΑΙ",14666,""),"")</f>
        <v>14666</v>
      </c>
      <c r="E19" s="223" t="str">
        <f>IF(ΓΕΝΙΚΑ!$B$22="ΝΑΙ","Π. ΑΤΤΙΚΗΣ","")</f>
        <v>Π. ΑΤΤΙΚΗΣ</v>
      </c>
      <c r="F19" s="7" t="s">
        <v>40</v>
      </c>
      <c r="G19" s="7">
        <v>95</v>
      </c>
      <c r="H19" s="140">
        <v>181.16293567173722</v>
      </c>
      <c r="I19" s="246">
        <f t="shared" si="0"/>
        <v>181.16</v>
      </c>
      <c r="J19" s="140">
        <v>176.62511988381866</v>
      </c>
      <c r="K19" s="246">
        <f t="shared" si="3"/>
        <v>176.63</v>
      </c>
      <c r="L19" s="57">
        <f t="shared" si="4"/>
        <v>358</v>
      </c>
      <c r="M19" s="157">
        <v>208.72749999999999</v>
      </c>
      <c r="N19" s="289">
        <f t="shared" si="5"/>
        <v>209</v>
      </c>
      <c r="O19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19" s="262" t="str">
        <f t="shared" si="6"/>
        <v/>
      </c>
      <c r="Q19" s="263" t="str">
        <f t="shared" si="6"/>
        <v/>
      </c>
      <c r="S19" s="130" t="str">
        <f t="shared" si="7"/>
        <v/>
      </c>
      <c r="T19" s="194" t="str">
        <f>IF(AND(L19="",ΠΕΡΙΦΕΡΕΙΑ!B3&lt;&gt;"Καθόλου"),U5,IF(AND(ΠΕΡΙΦΕΡΕΙΑ!B3="Καθόλου",OR(H19&lt;&gt;"",J19&lt;&gt;"")),"Η περιφέρεια δεν καλύπτεται",""))</f>
        <v/>
      </c>
      <c r="Y19" s="193"/>
    </row>
    <row r="20" spans="1:25" ht="72" x14ac:dyDescent="0.3">
      <c r="A20" s="42" t="str">
        <f t="shared" si="1"/>
        <v>B07</v>
      </c>
      <c r="B20" s="39" t="str">
        <f t="shared" si="1"/>
        <v>WIND</v>
      </c>
      <c r="C20" s="39" t="str">
        <f t="shared" si="2"/>
        <v>Άμεση</v>
      </c>
      <c r="D20" s="219">
        <f>IF(S17="",IF(ΓΕΝΙΚΑ!$B$20="ΝΑΙ",14668,""),"")</f>
        <v>14668</v>
      </c>
      <c r="E20" s="222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40">
        <v>187.4813991679305</v>
      </c>
      <c r="I20" s="246">
        <f t="shared" si="0"/>
        <v>187.48</v>
      </c>
      <c r="J20" s="140">
        <v>148.41276749873649</v>
      </c>
      <c r="K20" s="246">
        <f t="shared" si="3"/>
        <v>148.41</v>
      </c>
      <c r="L20" s="57">
        <f t="shared" si="4"/>
        <v>336</v>
      </c>
      <c r="M20" s="157">
        <v>122.851666666667</v>
      </c>
      <c r="N20" s="289">
        <f t="shared" si="5"/>
        <v>123</v>
      </c>
      <c r="O20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0" s="262" t="str">
        <f t="shared" si="6"/>
        <v/>
      </c>
      <c r="Q20" s="263" t="str">
        <f t="shared" si="6"/>
        <v/>
      </c>
      <c r="S20" s="130" t="str">
        <f t="shared" si="7"/>
        <v/>
      </c>
      <c r="T20" s="194" t="str">
        <f>IF(AND(L20="",ΠΕΡΙΦΕΡΕΙΑ!B4&lt;&gt;"Καθόλου"),U6,IF(AND(ΠΕΡΙΦΕΡΕΙΑ!B4="Καθόλου",OR(H20&lt;&gt;"",J20&lt;&gt;"")),"Η περιφέρεια δεν καλύπτεται",""))</f>
        <v/>
      </c>
      <c r="Y20" s="193"/>
    </row>
    <row r="21" spans="1:25" ht="72" x14ac:dyDescent="0.3">
      <c r="A21" s="42" t="str">
        <f t="shared" si="1"/>
        <v>B07</v>
      </c>
      <c r="B21" s="39" t="str">
        <f t="shared" si="1"/>
        <v>WIND</v>
      </c>
      <c r="C21" s="39" t="str">
        <f t="shared" si="2"/>
        <v>Άμεση</v>
      </c>
      <c r="D21" s="232">
        <f>IF(S21="",IF(ΓΕΝΙΚΑ!$B$20="ΝΑΙ",14670,""),"")</f>
        <v>14670</v>
      </c>
      <c r="E21" s="223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40">
        <v>172.93300824566637</v>
      </c>
      <c r="I21" s="246">
        <f t="shared" si="0"/>
        <v>172.93</v>
      </c>
      <c r="J21" s="140">
        <v>145.932269532112</v>
      </c>
      <c r="K21" s="246">
        <f t="shared" si="3"/>
        <v>145.93</v>
      </c>
      <c r="L21" s="57">
        <f t="shared" si="4"/>
        <v>319</v>
      </c>
      <c r="M21" s="157">
        <v>215.993333333333</v>
      </c>
      <c r="N21" s="289">
        <f t="shared" si="5"/>
        <v>216</v>
      </c>
      <c r="O21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1" s="262" t="str">
        <f t="shared" si="6"/>
        <v/>
      </c>
      <c r="Q21" s="263" t="str">
        <f t="shared" si="6"/>
        <v/>
      </c>
      <c r="S21" s="130" t="str">
        <f t="shared" si="7"/>
        <v/>
      </c>
      <c r="T21" s="194" t="str">
        <f>IF(AND(L21="",ΠΕΡΙΦΕΡΕΙΑ!B5&lt;&gt;"Καθόλου"),U7,IF(AND(ΠΕΡΙΦΕΡΕΙΑ!B5="Καθόλου",OR(H21&lt;&gt;"",J21&lt;&gt;"")),"Η περιφέρεια δεν καλύπτεται",""))</f>
        <v/>
      </c>
      <c r="Y21" s="193"/>
    </row>
    <row r="22" spans="1:25" ht="72" x14ac:dyDescent="0.3">
      <c r="A22" s="42" t="str">
        <f t="shared" si="1"/>
        <v>B07</v>
      </c>
      <c r="B22" s="39" t="str">
        <f t="shared" si="1"/>
        <v>WIND</v>
      </c>
      <c r="C22" s="39" t="str">
        <f t="shared" si="2"/>
        <v>Άμεση</v>
      </c>
      <c r="D22" s="219">
        <f>IF(S22="",IF(ΓΕΝΙΚΑ!$B$20="ΝΑΙ",14672,""),"")</f>
        <v>14672</v>
      </c>
      <c r="E22" s="222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40">
        <v>210.38159864434857</v>
      </c>
      <c r="I22" s="246">
        <f t="shared" si="0"/>
        <v>210.38</v>
      </c>
      <c r="J22" s="140">
        <v>169.12590135565131</v>
      </c>
      <c r="K22" s="246">
        <f t="shared" si="3"/>
        <v>169.13</v>
      </c>
      <c r="L22" s="57">
        <f t="shared" si="4"/>
        <v>380</v>
      </c>
      <c r="M22" s="157">
        <v>140.20083333333301</v>
      </c>
      <c r="N22" s="289">
        <f t="shared" si="5"/>
        <v>140</v>
      </c>
      <c r="O22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2" s="262" t="str">
        <f t="shared" si="6"/>
        <v/>
      </c>
      <c r="Q22" s="263" t="str">
        <f t="shared" si="6"/>
        <v/>
      </c>
      <c r="S22" s="130" t="str">
        <f t="shared" si="7"/>
        <v/>
      </c>
      <c r="T22" s="194" t="str">
        <f>IF(AND(L22="",ΠΕΡΙΦΕΡΕΙΑ!B6&lt;&gt;"Καθόλου"),U8,IF(AND(ΠΕΡΙΦΕΡΕΙΑ!B6="Καθόλου",OR(H22&lt;&gt;"",J22&lt;&gt;"")),"Η περιφέρεια δεν καλύπτεται",""))</f>
        <v/>
      </c>
      <c r="Y22" s="193"/>
    </row>
    <row r="23" spans="1:25" ht="72" x14ac:dyDescent="0.3">
      <c r="A23" s="42" t="str">
        <f t="shared" si="1"/>
        <v>B07</v>
      </c>
      <c r="B23" s="39" t="str">
        <f t="shared" si="1"/>
        <v>WIND</v>
      </c>
      <c r="C23" s="39" t="str">
        <f t="shared" si="2"/>
        <v>Άμεση</v>
      </c>
      <c r="D23" s="232">
        <f>IF(S23="",IF(ΓΕΝΙΚΑ!$B$20="ΝΑΙ",14674,""),"")</f>
        <v>14674</v>
      </c>
      <c r="E23" s="223" t="str">
        <f>IF(ΓΕΝΙΚΑ!$B$22="ΝΑΙ","Π. ΗΠΕΙΡΟΥ","")</f>
        <v>Π. ΗΠΕΙΡΟΥ</v>
      </c>
      <c r="F23" s="7" t="s">
        <v>407</v>
      </c>
      <c r="G23" s="7">
        <v>95</v>
      </c>
      <c r="H23" s="140">
        <v>206.21722802423739</v>
      </c>
      <c r="I23" s="246">
        <f t="shared" si="0"/>
        <v>206.22</v>
      </c>
      <c r="J23" s="140">
        <v>169.86166086465187</v>
      </c>
      <c r="K23" s="246">
        <f t="shared" si="3"/>
        <v>169.86</v>
      </c>
      <c r="L23" s="57">
        <f t="shared" si="4"/>
        <v>376</v>
      </c>
      <c r="M23" s="157">
        <v>168.65583333333299</v>
      </c>
      <c r="N23" s="289">
        <f t="shared" si="5"/>
        <v>169</v>
      </c>
      <c r="O23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3" s="262" t="str">
        <f t="shared" si="6"/>
        <v/>
      </c>
      <c r="Q23" s="263" t="str">
        <f t="shared" si="6"/>
        <v/>
      </c>
      <c r="S23" s="130" t="str">
        <f t="shared" si="7"/>
        <v/>
      </c>
      <c r="T23" s="194" t="str">
        <f>IF(AND(L23="",ΠΕΡΙΦΕΡΕΙΑ!B7&lt;&gt;"Καθόλου"),U9,IF(AND(ΠΕΡΙΦΕΡΕΙΑ!B7="Καθόλου",OR(H23&lt;&gt;"",J23&lt;&gt;"")),"Η περιφέρεια δεν καλύπτεται",""))</f>
        <v/>
      </c>
      <c r="Y23" s="193"/>
    </row>
    <row r="24" spans="1:25" ht="72" x14ac:dyDescent="0.3">
      <c r="A24" s="42" t="str">
        <f t="shared" si="1"/>
        <v>B07</v>
      </c>
      <c r="B24" s="39" t="str">
        <f t="shared" si="1"/>
        <v>WIND</v>
      </c>
      <c r="C24" s="39" t="str">
        <f t="shared" si="2"/>
        <v>Άμεση</v>
      </c>
      <c r="D24" s="219">
        <f>IF(S24="",IF(ΓΕΝΙΚΑ!$B$20="ΝΑΙ",14676,""),"")</f>
        <v>14676</v>
      </c>
      <c r="E24" s="222" t="str">
        <f>IF(ΓΕΝΙΚΑ!$B$22="ΝΑΙ","Π. ΘΕΣΣΑΛΙΑΣ","")</f>
        <v>Π. ΘΕΣΣΑΛΙΑΣ</v>
      </c>
      <c r="F24" s="7" t="s">
        <v>408</v>
      </c>
      <c r="G24" s="7">
        <v>95</v>
      </c>
      <c r="H24" s="140">
        <v>167.23448569132441</v>
      </c>
      <c r="I24" s="246">
        <f t="shared" si="0"/>
        <v>167.23</v>
      </c>
      <c r="J24" s="140">
        <v>153.55003044836189</v>
      </c>
      <c r="K24" s="246">
        <f t="shared" si="3"/>
        <v>153.55000000000001</v>
      </c>
      <c r="L24" s="57">
        <f t="shared" si="4"/>
        <v>321</v>
      </c>
      <c r="M24" s="157">
        <v>196.30388888888899</v>
      </c>
      <c r="N24" s="289">
        <f t="shared" si="5"/>
        <v>196</v>
      </c>
      <c r="O24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4" s="262" t="str">
        <f t="shared" si="6"/>
        <v/>
      </c>
      <c r="Q24" s="263" t="str">
        <f t="shared" si="6"/>
        <v/>
      </c>
      <c r="S24" s="130" t="str">
        <f t="shared" si="7"/>
        <v/>
      </c>
      <c r="T24" s="194" t="str">
        <f>IF(AND(L24="",ΠΕΡΙΦΕΡΕΙΑ!B8&lt;&gt;"Καθόλου"),U10,IF(AND(ΠΕΡΙΦΕΡΕΙΑ!B8="Καθόλου",OR(H24&lt;&gt;"",J24&lt;&gt;"")),"Η περιφέρεια δεν καλύπτεται",""))</f>
        <v/>
      </c>
      <c r="Y24" s="193"/>
    </row>
    <row r="25" spans="1:25" ht="72" x14ac:dyDescent="0.3">
      <c r="A25" s="42" t="str">
        <f t="shared" si="1"/>
        <v>B07</v>
      </c>
      <c r="B25" s="39" t="str">
        <f t="shared" si="1"/>
        <v>WIND</v>
      </c>
      <c r="C25" s="39" t="str">
        <f t="shared" si="2"/>
        <v>Άμεση</v>
      </c>
      <c r="D25" s="232">
        <f>IF(S25="",IF(ΓΕΝΙΚΑ!$B$20="ΝΑΙ",14678,""),"")</f>
        <v>14678</v>
      </c>
      <c r="E25" s="223" t="str">
        <f>IF(ΓΕΝΙΚΑ!$B$22="ΝΑΙ","Π. ΙΟΝΙΩΝ ΝΗΣΩΝ","")</f>
        <v>Π. ΙΟΝΙΩΝ ΝΗΣΩΝ</v>
      </c>
      <c r="F25" s="7" t="s">
        <v>409</v>
      </c>
      <c r="G25" s="7">
        <v>95</v>
      </c>
      <c r="H25" s="140">
        <v>190.64864168542857</v>
      </c>
      <c r="I25" s="246">
        <f t="shared" si="0"/>
        <v>190.65</v>
      </c>
      <c r="J25" s="140">
        <v>177.15552498123844</v>
      </c>
      <c r="K25" s="246">
        <f t="shared" si="3"/>
        <v>177.16</v>
      </c>
      <c r="L25" s="57">
        <f t="shared" si="4"/>
        <v>368</v>
      </c>
      <c r="M25" s="157">
        <v>143.60972222222199</v>
      </c>
      <c r="N25" s="289">
        <f t="shared" si="5"/>
        <v>144</v>
      </c>
      <c r="O25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5" s="262" t="str">
        <f t="shared" si="6"/>
        <v/>
      </c>
      <c r="Q25" s="263" t="str">
        <f t="shared" si="6"/>
        <v/>
      </c>
      <c r="S25" s="130" t="str">
        <f t="shared" si="7"/>
        <v/>
      </c>
      <c r="T25" s="194" t="str">
        <f>IF(AND(L25="",ΠΕΡΙΦΕΡΕΙΑ!B9&lt;&gt;"Καθόλου"),U11,IF(AND(ΠΕΡΙΦΕΡΕΙΑ!B9="Καθόλου",OR(H25&lt;&gt;"",J25&lt;&gt;"")),"Η περιφέρεια δεν καλύπτεται",""))</f>
        <v/>
      </c>
      <c r="Y25" s="193"/>
    </row>
    <row r="26" spans="1:25" ht="72" x14ac:dyDescent="0.3">
      <c r="A26" s="42" t="str">
        <f t="shared" si="1"/>
        <v>B07</v>
      </c>
      <c r="B26" s="39" t="str">
        <f t="shared" si="1"/>
        <v>WIND</v>
      </c>
      <c r="C26" s="39" t="str">
        <f t="shared" si="2"/>
        <v>Άμεση</v>
      </c>
      <c r="D26" s="219">
        <f>IF(S26="",IF(ΓΕΝΙΚΑ!$B$20="ΝΑΙ",14680,""),"")</f>
        <v>14680</v>
      </c>
      <c r="E26" s="222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40">
        <v>179.6598936726098</v>
      </c>
      <c r="I26" s="246">
        <f t="shared" si="0"/>
        <v>179.66</v>
      </c>
      <c r="J26" s="140">
        <v>161.78649521627958</v>
      </c>
      <c r="K26" s="246">
        <f t="shared" si="3"/>
        <v>161.79</v>
      </c>
      <c r="L26" s="57">
        <f t="shared" si="4"/>
        <v>341</v>
      </c>
      <c r="M26" s="157">
        <v>222.97527777777799</v>
      </c>
      <c r="N26" s="289">
        <f t="shared" si="5"/>
        <v>223</v>
      </c>
      <c r="O26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6" s="262" t="str">
        <f t="shared" si="6"/>
        <v/>
      </c>
      <c r="Q26" s="263" t="str">
        <f t="shared" si="6"/>
        <v/>
      </c>
      <c r="S26" s="130" t="str">
        <f t="shared" si="7"/>
        <v/>
      </c>
      <c r="T26" s="194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93"/>
    </row>
    <row r="27" spans="1:25" ht="72" x14ac:dyDescent="0.3">
      <c r="A27" s="42" t="str">
        <f t="shared" si="1"/>
        <v>B07</v>
      </c>
      <c r="B27" s="39" t="str">
        <f t="shared" si="1"/>
        <v>WIND</v>
      </c>
      <c r="C27" s="39" t="str">
        <f t="shared" si="2"/>
        <v>Άμεση</v>
      </c>
      <c r="D27" s="232">
        <f>IF(S27="",IF(ΓΕΝΙΚΑ!$B$20="ΝΑΙ",14682,""),"")</f>
        <v>14682</v>
      </c>
      <c r="E27" s="223" t="str">
        <f>IF(ΓΕΝΙΚΑ!$B$22="ΝΑΙ","Π. ΚΡΗΤΗΣ","")</f>
        <v>Π. ΚΡΗΤΗΣ</v>
      </c>
      <c r="F27" s="7" t="s">
        <v>411</v>
      </c>
      <c r="G27" s="7">
        <v>95</v>
      </c>
      <c r="H27" s="140">
        <v>147.03255936049834</v>
      </c>
      <c r="I27" s="246">
        <f t="shared" si="0"/>
        <v>147.03</v>
      </c>
      <c r="J27" s="140">
        <v>151.49660730616847</v>
      </c>
      <c r="K27" s="246">
        <f t="shared" si="3"/>
        <v>151.5</v>
      </c>
      <c r="L27" s="57">
        <f t="shared" si="4"/>
        <v>299</v>
      </c>
      <c r="M27" s="157">
        <v>194.606666666667</v>
      </c>
      <c r="N27" s="289">
        <f t="shared" si="5"/>
        <v>195</v>
      </c>
      <c r="O27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7" s="262" t="str">
        <f t="shared" si="6"/>
        <v/>
      </c>
      <c r="Q27" s="263" t="str">
        <f t="shared" si="6"/>
        <v/>
      </c>
      <c r="S27" s="130" t="str">
        <f t="shared" si="7"/>
        <v/>
      </c>
      <c r="T27" s="194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93"/>
    </row>
    <row r="28" spans="1:25" ht="72" x14ac:dyDescent="0.3">
      <c r="A28" s="42" t="str">
        <f t="shared" si="1"/>
        <v>B07</v>
      </c>
      <c r="B28" s="39" t="str">
        <f t="shared" si="1"/>
        <v>WIND</v>
      </c>
      <c r="C28" s="39" t="str">
        <f t="shared" si="2"/>
        <v>Άμεση</v>
      </c>
      <c r="D28" s="219">
        <f>IF(S28="",IF(ΓΕΝΙΚΑ!$B$20="ΝΑΙ",14684,""),"")</f>
        <v>14684</v>
      </c>
      <c r="E28" s="222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40">
        <v>185.85188203855785</v>
      </c>
      <c r="I28" s="246">
        <f t="shared" si="0"/>
        <v>185.85</v>
      </c>
      <c r="J28" s="140">
        <v>170.60756240588591</v>
      </c>
      <c r="K28" s="246">
        <f t="shared" si="3"/>
        <v>170.61</v>
      </c>
      <c r="L28" s="57">
        <f t="shared" si="4"/>
        <v>356</v>
      </c>
      <c r="M28" s="157">
        <v>214.74916666666701</v>
      </c>
      <c r="N28" s="289">
        <f t="shared" si="5"/>
        <v>215</v>
      </c>
      <c r="O28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8" s="262" t="str">
        <f t="shared" si="6"/>
        <v/>
      </c>
      <c r="Q28" s="263" t="str">
        <f t="shared" si="6"/>
        <v/>
      </c>
      <c r="S28" s="130" t="str">
        <f t="shared" si="7"/>
        <v/>
      </c>
      <c r="T28" s="194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93"/>
    </row>
    <row r="29" spans="1:25" ht="72" x14ac:dyDescent="0.3">
      <c r="A29" s="42" t="str">
        <f t="shared" si="1"/>
        <v>B07</v>
      </c>
      <c r="B29" s="39" t="str">
        <f t="shared" si="1"/>
        <v>WIND</v>
      </c>
      <c r="C29" s="39" t="str">
        <f t="shared" si="2"/>
        <v>Άμεση</v>
      </c>
      <c r="D29" s="232">
        <f>IF(S29="",IF(ΓΕΝΙΚΑ!$B$20="ΝΑΙ",14686,""),"")</f>
        <v>14686</v>
      </c>
      <c r="E29" s="223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40">
        <v>175.4317781915401</v>
      </c>
      <c r="I29" s="246">
        <f t="shared" si="0"/>
        <v>175.43</v>
      </c>
      <c r="J29" s="140">
        <v>143.42877736401601</v>
      </c>
      <c r="K29" s="246">
        <f t="shared" si="3"/>
        <v>143.43</v>
      </c>
      <c r="L29" s="57">
        <f t="shared" si="4"/>
        <v>319</v>
      </c>
      <c r="M29" s="157">
        <v>193.446944444444</v>
      </c>
      <c r="N29" s="289">
        <f t="shared" si="5"/>
        <v>193</v>
      </c>
      <c r="O29" s="262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29" s="262" t="str">
        <f t="shared" si="6"/>
        <v/>
      </c>
      <c r="Q29" s="263" t="str">
        <f t="shared" si="6"/>
        <v/>
      </c>
      <c r="S29" s="130" t="str">
        <f t="shared" si="7"/>
        <v/>
      </c>
      <c r="T29" s="194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93"/>
    </row>
    <row r="30" spans="1:25" ht="72.599999999999994" thickBot="1" x14ac:dyDescent="0.35">
      <c r="A30" s="43" t="str">
        <f t="shared" si="1"/>
        <v>B07</v>
      </c>
      <c r="B30" s="44" t="str">
        <f t="shared" si="1"/>
        <v>WIND</v>
      </c>
      <c r="C30" s="44" t="str">
        <f t="shared" si="2"/>
        <v>Άμεση</v>
      </c>
      <c r="D30" s="220">
        <f>IF(S30="",IF(ΓΕΝΙΚΑ!$B$20="ΝΑΙ",14688,""),"")</f>
        <v>14688</v>
      </c>
      <c r="E30" s="224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41">
        <v>174.15219512958134</v>
      </c>
      <c r="I30" s="246">
        <f t="shared" si="0"/>
        <v>174.15</v>
      </c>
      <c r="J30" s="141">
        <v>181.12391598152956</v>
      </c>
      <c r="K30" s="246">
        <f t="shared" si="3"/>
        <v>181.12</v>
      </c>
      <c r="L30" s="305">
        <f t="shared" si="4"/>
        <v>355</v>
      </c>
      <c r="M30" s="158">
        <v>139.47</v>
      </c>
      <c r="N30" s="289">
        <f t="shared" si="5"/>
        <v>139</v>
      </c>
      <c r="O30" s="264" t="str">
        <f t="shared" si="8"/>
        <v>Για αναγγελία και διαχείριση βλαβών Σταθερής &amp; Inernet μέσω τηλεφώνου στο 
13700 / ή 1277 (για εταιρικούς πελάτες), χωρίς χρέωση, Δευτέρα - Κυριακή: 24 ώρες &amp; αργίες.                                                                                       H μέσω του www.wind.gr</v>
      </c>
      <c r="P30" s="264" t="str">
        <f t="shared" si="6"/>
        <v/>
      </c>
      <c r="Q30" s="265" t="str">
        <f t="shared" si="6"/>
        <v/>
      </c>
      <c r="S30" s="131" t="str">
        <f t="shared" si="7"/>
        <v/>
      </c>
      <c r="T30" s="195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93"/>
    </row>
  </sheetData>
  <sheetProtection algorithmName="SHA-512" hashValue="P//YVXBscTgmLqyr1nlFhXauvTCNmIRBTHLAAR6lwUX1dsRujnabQEMkWFO/d5rXE6Xi/sHjCGYqA5XrvgGbwA==" saltValue="eesK5aiRtJVpjfh2XxSrTg==" spinCount="100000" sheet="1" objects="1" scenario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 xr:uid="{00000000-0002-0000-0B00-000000000000}">
      <formula1>Serv_Type</formula1>
    </dataValidation>
    <dataValidation type="list" allowBlank="1" showInputMessage="1" showErrorMessage="1" sqref="G3:G30" xr:uid="{00000000-0002-0000-0B00-000001000000}">
      <formula1>Percent.</formula1>
    </dataValidation>
    <dataValidation type="list" allowBlank="1" showInputMessage="1" showErrorMessage="1" sqref="C3" xr:uid="{00000000-0002-0000-0B00-000002000000}">
      <formula1>ServiceType</formula1>
    </dataValidation>
    <dataValidation type="list" allowBlank="1" showInputMessage="1" showErrorMessage="1" sqref="F3:F16 F18:F30" xr:uid="{00000000-0002-0000-0B00-000003000000}">
      <formula1>Perifereies.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Y7"/>
  <sheetViews>
    <sheetView topLeftCell="G2" zoomScale="70" zoomScaleNormal="70" workbookViewId="0">
      <selection activeCell="K3" sqref="K3"/>
    </sheetView>
  </sheetViews>
  <sheetFormatPr defaultColWidth="0" defaultRowHeight="14.4" zeroHeight="1" x14ac:dyDescent="0.3"/>
  <cols>
    <col min="1" max="1" width="50" style="170" customWidth="1"/>
    <col min="2" max="2" width="23" style="170" hidden="1" customWidth="1"/>
    <col min="3" max="4" width="23" style="249" hidden="1" customWidth="1"/>
    <col min="5" max="6" width="23" style="170" customWidth="1"/>
    <col min="7" max="7" width="35.88671875" style="170" customWidth="1"/>
    <col min="8" max="9" width="28.33203125" style="170" customWidth="1"/>
    <col min="10" max="10" width="69.44140625" style="170" customWidth="1"/>
    <col min="11" max="11" width="56" style="170" customWidth="1"/>
    <col min="12" max="12" width="35.33203125" style="170" customWidth="1"/>
    <col min="13" max="14" width="28.33203125" style="170" customWidth="1"/>
    <col min="15" max="15" width="37.33203125" style="170" customWidth="1"/>
    <col min="16" max="16" width="63.109375" style="170" customWidth="1"/>
    <col min="17" max="17" width="9.109375" style="170" customWidth="1"/>
    <col min="18" max="18" width="16.109375" style="170" customWidth="1"/>
    <col min="19" max="19" width="72.6640625" style="170" customWidth="1"/>
    <col min="20" max="16384" width="9.109375" style="170" hidden="1"/>
  </cols>
  <sheetData>
    <row r="1" spans="1:25" ht="15" hidden="1" thickBot="1" x14ac:dyDescent="0.35">
      <c r="A1" t="s">
        <v>505</v>
      </c>
      <c r="B1" t="s">
        <v>504</v>
      </c>
      <c r="C1" s="226" t="s">
        <v>905</v>
      </c>
      <c r="D1" s="226" t="s">
        <v>906</v>
      </c>
      <c r="E1" t="s">
        <v>509</v>
      </c>
      <c r="F1" s="2" t="s">
        <v>506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512</v>
      </c>
      <c r="R1" s="25" t="s">
        <v>519</v>
      </c>
      <c r="S1" s="25" t="s">
        <v>519</v>
      </c>
    </row>
    <row r="2" spans="1:25" ht="51" customHeight="1" thickBot="1" x14ac:dyDescent="0.35">
      <c r="A2" s="3" t="s">
        <v>422</v>
      </c>
      <c r="B2" s="4" t="s">
        <v>28</v>
      </c>
      <c r="C2" s="227"/>
      <c r="D2" s="227"/>
      <c r="E2" s="4" t="s">
        <v>547</v>
      </c>
      <c r="F2" s="4" t="s">
        <v>433</v>
      </c>
      <c r="G2" s="4" t="s">
        <v>569</v>
      </c>
      <c r="H2" s="4" t="s">
        <v>473</v>
      </c>
      <c r="I2" s="4" t="s">
        <v>474</v>
      </c>
      <c r="J2" s="4" t="s">
        <v>475</v>
      </c>
      <c r="K2" s="4" t="s">
        <v>476</v>
      </c>
      <c r="L2" s="186" t="s">
        <v>477</v>
      </c>
      <c r="M2" s="186" t="s">
        <v>478</v>
      </c>
      <c r="N2" s="186" t="s">
        <v>479</v>
      </c>
      <c r="O2" s="4" t="s">
        <v>484</v>
      </c>
      <c r="P2" s="23" t="s">
        <v>421</v>
      </c>
      <c r="R2" s="129" t="s">
        <v>452</v>
      </c>
      <c r="S2" s="109" t="s">
        <v>553</v>
      </c>
    </row>
    <row r="3" spans="1:25" ht="75" customHeight="1" thickTop="1" x14ac:dyDescent="0.3">
      <c r="A3" s="18" t="s">
        <v>480</v>
      </c>
      <c r="B3" s="251" t="str">
        <f>ΓΕΝΙΚΑ!C4</f>
        <v>WIND</v>
      </c>
      <c r="C3" s="225">
        <f>IF(ΓΕΝΙΚΑ!$B$23="ΝΑΙ",15300,"")</f>
        <v>15300</v>
      </c>
      <c r="D3" s="225" t="str">
        <f>IF(ΓΕΝΙΚΑ!$B$23="ΝΑΙ","ΠΑΝΕΛΛΑΔΙΚΑ","")</f>
        <v>ΠΑΝΕΛΛΑΔΙΚΑ</v>
      </c>
      <c r="E3" s="19" t="s">
        <v>555</v>
      </c>
      <c r="F3" s="162" t="s">
        <v>434</v>
      </c>
      <c r="G3" s="299">
        <v>42856</v>
      </c>
      <c r="H3" s="163" t="s">
        <v>934</v>
      </c>
      <c r="I3" s="163" t="s">
        <v>934</v>
      </c>
      <c r="J3" s="163" t="s">
        <v>934</v>
      </c>
      <c r="K3" s="163" t="s">
        <v>934</v>
      </c>
      <c r="L3" s="163" t="s">
        <v>935</v>
      </c>
      <c r="M3" s="163"/>
      <c r="N3" s="163"/>
      <c r="O3" s="163" t="s">
        <v>936</v>
      </c>
      <c r="P3" s="290" t="s">
        <v>937</v>
      </c>
      <c r="R3" s="130" t="str">
        <f>IF(S3="","","ΣΦΑΛΜΑ")</f>
        <v/>
      </c>
      <c r="S3" s="160" t="str">
        <f>CONCATENATE(IF(F3="","Πρέπει να συμπληρωθεί υποχρεωτικά ο τύπος υπηρεσίας",""),IF(Y3&lt;&gt;0,"Σφάλμα ημερομηνίας",""),)</f>
        <v/>
      </c>
      <c r="T3" s="170" t="str">
        <f>TEXT($G$3,"ΗΗ/ΜΜ/ΕΕΕΕ")</f>
        <v>01/05/2017</v>
      </c>
      <c r="U3" s="170">
        <f>_xlfn.NUMBERVALUE(LEFT(T3,2))</f>
        <v>1</v>
      </c>
      <c r="V3" s="170">
        <f>_xlfn.NUMBERVALUE(MID(T3,4,2))</f>
        <v>5</v>
      </c>
      <c r="W3" s="170">
        <f>_xlfn.NUMBERVALUE(RIGHT(T3,4))</f>
        <v>2017</v>
      </c>
      <c r="X3" s="170">
        <f>IF(LEN((T3)=10),0,1)+IF(AND(U3&gt;0,U3&lt;32),0,1)+IF(AND(V3&gt;0,V3&lt;13),0,1)+IF(AND(W3&gt;2000,W3&lt;2030),0,1)</f>
        <v>0</v>
      </c>
      <c r="Y3" s="170">
        <f>IF(ISERR(X3),1,X3)</f>
        <v>0</v>
      </c>
    </row>
    <row r="4" spans="1:25" ht="75" customHeight="1" x14ac:dyDescent="0.3">
      <c r="A4" s="14" t="str">
        <f>A3</f>
        <v>B08</v>
      </c>
      <c r="B4" s="252" t="str">
        <f>B3</f>
        <v>WIND</v>
      </c>
      <c r="C4" s="225">
        <f>IF(ΓΕΝΙΚΑ!$B$23="ΝΑΙ",15300,"")</f>
        <v>15300</v>
      </c>
      <c r="D4" s="225" t="str">
        <f>IF(ΓΕΝΙΚΑ!$B$23="ΝΑΙ","ΠΑΝΕΛΛΑΔΙΚΑ","")</f>
        <v>ΠΑΝΕΛΛΑΔΙΚΑ</v>
      </c>
      <c r="E4" s="19" t="s">
        <v>555</v>
      </c>
      <c r="F4" s="54" t="str">
        <f>F3</f>
        <v>Άμεση</v>
      </c>
      <c r="G4" s="55">
        <f>G3</f>
        <v>42856</v>
      </c>
      <c r="H4" s="297" t="s">
        <v>925</v>
      </c>
      <c r="I4" s="297" t="s">
        <v>925</v>
      </c>
      <c r="J4" s="164"/>
      <c r="K4" s="297" t="s">
        <v>925</v>
      </c>
      <c r="L4" s="297" t="s">
        <v>925</v>
      </c>
      <c r="M4" s="297" t="s">
        <v>925</v>
      </c>
      <c r="N4" s="295" t="s">
        <v>925</v>
      </c>
      <c r="O4" s="293" t="s">
        <v>925</v>
      </c>
      <c r="P4" s="291" t="s">
        <v>925</v>
      </c>
      <c r="R4" s="130" t="str">
        <f t="shared" ref="R4:R7" si="0">IF(S4="","","ΣΦΑΛΜΑ")</f>
        <v/>
      </c>
      <c r="S4" s="161" t="str">
        <f t="shared" ref="S4:S7" si="1">CONCATENATE(IF(F4="","Πρέπει να συμπληρωθεί υποχρεωτικά ο τύπος υπηρεσίας",""),IF(Y4&lt;&gt;0,"Σφάλμα ημερομηνίας",""),)</f>
        <v/>
      </c>
      <c r="T4" s="249" t="str">
        <f>TEXT($G$3,"ΗΗ/ΜΜ/ΕΕΕΕ")</f>
        <v>01/05/2017</v>
      </c>
      <c r="U4" s="170">
        <f t="shared" ref="U4:U7" si="2">_xlfn.NUMBERVALUE(LEFT(T4,2))</f>
        <v>1</v>
      </c>
      <c r="V4" s="170">
        <f t="shared" ref="V4:V7" si="3">_xlfn.NUMBERVALUE(MID(T4,4,2))</f>
        <v>5</v>
      </c>
      <c r="W4" s="170">
        <f t="shared" ref="W4:W7" si="4">_xlfn.NUMBERVALUE(RIGHT(T4,4))</f>
        <v>2017</v>
      </c>
      <c r="X4" s="170">
        <f t="shared" ref="X4:X7" si="5">IF(LEN((T4)=10),0,1)+IF(AND(U4&gt;0,U4&lt;32),0,1)+IF(AND(V4&gt;0,V4&lt;13),0,1)+IF(AND(W4&gt;2000,W4&lt;2030),0,1)</f>
        <v>0</v>
      </c>
      <c r="Y4" s="170">
        <f t="shared" ref="Y4:Y7" si="6">IF(ISERR(X4),1,X4)</f>
        <v>0</v>
      </c>
    </row>
    <row r="5" spans="1:25" ht="75" customHeight="1" x14ac:dyDescent="0.3">
      <c r="A5" s="14" t="str">
        <f>A3</f>
        <v>B08</v>
      </c>
      <c r="B5" s="252" t="str">
        <f>B3</f>
        <v>WIND</v>
      </c>
      <c r="C5" s="225">
        <f>IF(ΓΕΝΙΚΑ!$B$23="ΝΑΙ",15300,"")</f>
        <v>15300</v>
      </c>
      <c r="D5" s="225" t="str">
        <f>IF(ΓΕΝΙΚΑ!$B$23="ΝΑΙ","ΠΑΝΕΛΛΑΔΙΚΑ","")</f>
        <v>ΠΑΝΕΛΛΑΔΙΚΑ</v>
      </c>
      <c r="E5" s="19" t="s">
        <v>555</v>
      </c>
      <c r="F5" s="54" t="str">
        <f>F3</f>
        <v>Άμεση</v>
      </c>
      <c r="G5" s="55">
        <f>G3</f>
        <v>42856</v>
      </c>
      <c r="H5" s="297" t="s">
        <v>925</v>
      </c>
      <c r="I5" s="297" t="s">
        <v>925</v>
      </c>
      <c r="J5" s="164"/>
      <c r="K5" s="297" t="s">
        <v>925</v>
      </c>
      <c r="L5" s="297" t="s">
        <v>925</v>
      </c>
      <c r="M5" s="297" t="s">
        <v>925</v>
      </c>
      <c r="N5" s="295" t="s">
        <v>925</v>
      </c>
      <c r="O5" s="293" t="s">
        <v>925</v>
      </c>
      <c r="P5" s="291" t="s">
        <v>925</v>
      </c>
      <c r="R5" s="130" t="str">
        <f t="shared" si="0"/>
        <v/>
      </c>
      <c r="S5" s="161" t="str">
        <f t="shared" si="1"/>
        <v/>
      </c>
      <c r="T5" s="249" t="str">
        <f>TEXT($G$3,"ΗΗ/ΜΜ/ΕΕΕΕ")</f>
        <v>01/05/2017</v>
      </c>
      <c r="U5" s="170">
        <f t="shared" si="2"/>
        <v>1</v>
      </c>
      <c r="V5" s="170">
        <f t="shared" si="3"/>
        <v>5</v>
      </c>
      <c r="W5" s="170">
        <f t="shared" si="4"/>
        <v>2017</v>
      </c>
      <c r="X5" s="170">
        <f t="shared" si="5"/>
        <v>0</v>
      </c>
      <c r="Y5" s="170">
        <f t="shared" si="6"/>
        <v>0</v>
      </c>
    </row>
    <row r="6" spans="1:25" ht="75" customHeight="1" x14ac:dyDescent="0.3">
      <c r="A6" s="14" t="str">
        <f>A3</f>
        <v>B08</v>
      </c>
      <c r="B6" s="252" t="str">
        <f>B3</f>
        <v>WIND</v>
      </c>
      <c r="C6" s="225">
        <f>IF(ΓΕΝΙΚΑ!$B$23="ΝΑΙ",15300,"")</f>
        <v>15300</v>
      </c>
      <c r="D6" s="225" t="str">
        <f>IF(ΓΕΝΙΚΑ!$B$23="ΝΑΙ","ΠΑΝΕΛΛΑΔΙΚΑ","")</f>
        <v>ΠΑΝΕΛΛΑΔΙΚΑ</v>
      </c>
      <c r="E6" s="19" t="s">
        <v>555</v>
      </c>
      <c r="F6" s="54" t="str">
        <f>F3</f>
        <v>Άμεση</v>
      </c>
      <c r="G6" s="55">
        <f>G3</f>
        <v>42856</v>
      </c>
      <c r="H6" s="297" t="s">
        <v>925</v>
      </c>
      <c r="I6" s="297" t="s">
        <v>925</v>
      </c>
      <c r="J6" s="164"/>
      <c r="K6" s="297" t="s">
        <v>925</v>
      </c>
      <c r="L6" s="297" t="s">
        <v>925</v>
      </c>
      <c r="M6" s="297" t="s">
        <v>925</v>
      </c>
      <c r="N6" s="295" t="s">
        <v>925</v>
      </c>
      <c r="O6" s="293" t="s">
        <v>925</v>
      </c>
      <c r="P6" s="291" t="s">
        <v>925</v>
      </c>
      <c r="R6" s="130" t="str">
        <f t="shared" si="0"/>
        <v/>
      </c>
      <c r="S6" s="161" t="str">
        <f t="shared" si="1"/>
        <v/>
      </c>
      <c r="T6" s="249" t="str">
        <f>TEXT($G$3,"ΗΗ/ΜΜ/ΕΕΕΕ")</f>
        <v>01/05/2017</v>
      </c>
      <c r="U6" s="170">
        <f t="shared" si="2"/>
        <v>1</v>
      </c>
      <c r="V6" s="170">
        <f t="shared" si="3"/>
        <v>5</v>
      </c>
      <c r="W6" s="170">
        <f t="shared" si="4"/>
        <v>2017</v>
      </c>
      <c r="X6" s="170">
        <f t="shared" si="5"/>
        <v>0</v>
      </c>
      <c r="Y6" s="170">
        <f t="shared" si="6"/>
        <v>0</v>
      </c>
    </row>
    <row r="7" spans="1:25" ht="75" customHeight="1" thickBot="1" x14ac:dyDescent="0.35">
      <c r="A7" s="16" t="str">
        <f>A3</f>
        <v>B08</v>
      </c>
      <c r="B7" s="253" t="str">
        <f>B3</f>
        <v>WIND</v>
      </c>
      <c r="C7" s="225">
        <f>IF(ΓΕΝΙΚΑ!$B$23="ΝΑΙ",15300,"")</f>
        <v>15300</v>
      </c>
      <c r="D7" s="225" t="str">
        <f>IF(ΓΕΝΙΚΑ!$B$23="ΝΑΙ","ΠΑΝΕΛΛΑΔΙΚΑ","")</f>
        <v>ΠΑΝΕΛΛΑΔΙΚΑ</v>
      </c>
      <c r="E7" s="19" t="s">
        <v>555</v>
      </c>
      <c r="F7" s="22" t="str">
        <f>F3</f>
        <v>Άμεση</v>
      </c>
      <c r="G7" s="56">
        <f>G3</f>
        <v>42856</v>
      </c>
      <c r="H7" s="298" t="s">
        <v>925</v>
      </c>
      <c r="I7" s="298" t="s">
        <v>925</v>
      </c>
      <c r="J7" s="306"/>
      <c r="K7" s="298" t="s">
        <v>925</v>
      </c>
      <c r="L7" s="298" t="s">
        <v>925</v>
      </c>
      <c r="M7" s="298" t="s">
        <v>925</v>
      </c>
      <c r="N7" s="296" t="s">
        <v>925</v>
      </c>
      <c r="O7" s="294" t="s">
        <v>925</v>
      </c>
      <c r="P7" s="292" t="s">
        <v>925</v>
      </c>
      <c r="R7" s="131" t="str">
        <f t="shared" si="0"/>
        <v/>
      </c>
      <c r="S7" s="155" t="str">
        <f t="shared" si="1"/>
        <v/>
      </c>
      <c r="T7" s="249" t="str">
        <f>TEXT($G$3,"ΗΗ/ΜΜ/ΕΕΕΕ")</f>
        <v>01/05/2017</v>
      </c>
      <c r="U7" s="170">
        <f t="shared" si="2"/>
        <v>1</v>
      </c>
      <c r="V7" s="170">
        <f t="shared" si="3"/>
        <v>5</v>
      </c>
      <c r="W7" s="170">
        <f t="shared" si="4"/>
        <v>2017</v>
      </c>
      <c r="X7" s="170">
        <f t="shared" si="5"/>
        <v>0</v>
      </c>
      <c r="Y7" s="170">
        <f t="shared" si="6"/>
        <v>0</v>
      </c>
    </row>
  </sheetData>
  <sheetProtection algorithmName="SHA-512" hashValue="wQjoBbx3JiAElurAGrxhrcUJJ+T7bw6Op19X50ujKOWCyap1d2hWWQ3yGHNLkfCekreHOxEYeniBezLAZfv0xw==" saltValue="V0p0uGO6mOXO2WStltOHxA==" spinCount="100000" sheet="1" objects="1" scenario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 xr:uid="{00000000-0002-0000-0C00-000000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2:Q23"/>
  <sheetViews>
    <sheetView workbookViewId="0">
      <selection activeCell="E7" sqref="E7"/>
    </sheetView>
  </sheetViews>
  <sheetFormatPr defaultRowHeight="14.4" x14ac:dyDescent="0.3"/>
  <cols>
    <col min="1" max="1" width="28.109375" customWidth="1"/>
    <col min="2" max="3" width="21.88671875" customWidth="1"/>
    <col min="4" max="4" width="26.44140625" customWidth="1"/>
    <col min="5" max="5" width="26.33203125" customWidth="1"/>
    <col min="6" max="6" width="29.44140625" customWidth="1"/>
    <col min="7" max="7" width="19.88671875" customWidth="1"/>
    <col min="8" max="8" width="23.5546875" customWidth="1"/>
    <col min="9" max="9" width="14.5546875" bestFit="1" customWidth="1"/>
    <col min="10" max="10" width="25.6640625" customWidth="1"/>
    <col min="11" max="11" width="26.109375" customWidth="1"/>
    <col min="12" max="12" width="16.5546875" bestFit="1" customWidth="1"/>
    <col min="14" max="14" width="20.88671875" bestFit="1" customWidth="1"/>
    <col min="16" max="16" width="21.5546875" customWidth="1"/>
  </cols>
  <sheetData>
    <row r="2" spans="1:17" ht="28.8" x14ac:dyDescent="0.3">
      <c r="A2" t="s">
        <v>497</v>
      </c>
      <c r="B2" s="1" t="s">
        <v>0</v>
      </c>
      <c r="C2" s="1" t="s">
        <v>459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523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485</v>
      </c>
      <c r="Q2" s="1" t="s">
        <v>502</v>
      </c>
    </row>
    <row r="3" spans="1:17" x14ac:dyDescent="0.3">
      <c r="A3" t="s">
        <v>419</v>
      </c>
      <c r="B3" t="s">
        <v>4</v>
      </c>
      <c r="C3" t="s">
        <v>24</v>
      </c>
      <c r="D3" t="s">
        <v>5</v>
      </c>
      <c r="E3" t="s">
        <v>500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486</v>
      </c>
    </row>
    <row r="4" spans="1:17" x14ac:dyDescent="0.3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482</v>
      </c>
      <c r="O4" t="s">
        <v>446</v>
      </c>
      <c r="P4" t="s">
        <v>487</v>
      </c>
      <c r="Q4">
        <v>2</v>
      </c>
    </row>
    <row r="5" spans="1:17" x14ac:dyDescent="0.3">
      <c r="B5" t="s">
        <v>8</v>
      </c>
      <c r="D5" t="s">
        <v>9</v>
      </c>
      <c r="E5" t="s">
        <v>31</v>
      </c>
      <c r="F5" t="s">
        <v>37</v>
      </c>
      <c r="I5" t="s">
        <v>426</v>
      </c>
      <c r="J5">
        <v>3</v>
      </c>
      <c r="K5" t="s">
        <v>431</v>
      </c>
      <c r="N5" t="s">
        <v>441</v>
      </c>
    </row>
    <row r="6" spans="1:17" x14ac:dyDescent="0.3">
      <c r="B6" t="s">
        <v>10</v>
      </c>
      <c r="D6" t="s">
        <v>11</v>
      </c>
      <c r="E6" t="s">
        <v>931</v>
      </c>
      <c r="I6" t="s">
        <v>427</v>
      </c>
      <c r="J6">
        <v>2</v>
      </c>
      <c r="K6" t="s">
        <v>432</v>
      </c>
      <c r="N6" t="s">
        <v>483</v>
      </c>
    </row>
    <row r="7" spans="1:17" x14ac:dyDescent="0.3">
      <c r="B7" t="s">
        <v>12</v>
      </c>
      <c r="E7" t="s">
        <v>922</v>
      </c>
      <c r="I7" t="s">
        <v>428</v>
      </c>
      <c r="J7">
        <v>1</v>
      </c>
      <c r="K7" t="s">
        <v>463</v>
      </c>
    </row>
    <row r="8" spans="1:17" x14ac:dyDescent="0.3">
      <c r="B8" t="s">
        <v>13</v>
      </c>
      <c r="I8" t="s">
        <v>923</v>
      </c>
      <c r="J8">
        <v>0</v>
      </c>
    </row>
    <row r="9" spans="1:17" x14ac:dyDescent="0.3">
      <c r="B9" t="s">
        <v>14</v>
      </c>
    </row>
    <row r="10" spans="1:17" x14ac:dyDescent="0.3">
      <c r="B10" t="s">
        <v>15</v>
      </c>
    </row>
    <row r="11" spans="1:17" x14ac:dyDescent="0.3">
      <c r="B11" t="s">
        <v>16</v>
      </c>
    </row>
    <row r="12" spans="1:17" x14ac:dyDescent="0.3">
      <c r="B12" t="s">
        <v>17</v>
      </c>
    </row>
    <row r="13" spans="1:17" x14ac:dyDescent="0.3">
      <c r="B13" t="s">
        <v>18</v>
      </c>
    </row>
    <row r="14" spans="1:17" x14ac:dyDescent="0.3">
      <c r="B14" t="s">
        <v>19</v>
      </c>
    </row>
    <row r="15" spans="1:17" x14ac:dyDescent="0.3">
      <c r="B15" t="s">
        <v>20</v>
      </c>
    </row>
    <row r="16" spans="1:17" x14ac:dyDescent="0.3">
      <c r="B16" t="s">
        <v>21</v>
      </c>
    </row>
    <row r="17" spans="2:2" x14ac:dyDescent="0.3">
      <c r="B17" t="s">
        <v>22</v>
      </c>
    </row>
    <row r="18" spans="2:2" x14ac:dyDescent="0.3">
      <c r="B18" t="s">
        <v>23</v>
      </c>
    </row>
    <row r="19" spans="2:2" x14ac:dyDescent="0.3">
      <c r="B19" t="s">
        <v>24</v>
      </c>
    </row>
    <row r="20" spans="2:2" x14ac:dyDescent="0.3">
      <c r="B20" t="s">
        <v>2</v>
      </c>
    </row>
    <row r="21" spans="2:2" x14ac:dyDescent="0.3">
      <c r="B21" t="s">
        <v>25</v>
      </c>
    </row>
    <row r="22" spans="2:2" x14ac:dyDescent="0.3">
      <c r="B22" t="s">
        <v>26</v>
      </c>
    </row>
    <row r="23" spans="2:2" x14ac:dyDescent="0.3">
      <c r="B23" t="s">
        <v>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E15"/>
  <sheetViews>
    <sheetView showGridLines="0" showRowColHeaders="0" workbookViewId="0">
      <selection activeCell="F8" sqref="F8"/>
    </sheetView>
  </sheetViews>
  <sheetFormatPr defaultColWidth="9.109375" defaultRowHeight="14.4" x14ac:dyDescent="0.3"/>
  <cols>
    <col min="1" max="1" width="39.6640625" style="170" customWidth="1"/>
    <col min="2" max="2" width="20" style="170" customWidth="1"/>
    <col min="3" max="5" width="37.109375" style="170" hidden="1" customWidth="1"/>
    <col min="6" max="6" width="37.109375" style="170" customWidth="1"/>
    <col min="7" max="9" width="9.109375" style="170"/>
    <col min="10" max="14" width="37.109375" style="170" customWidth="1"/>
    <col min="15" max="16384" width="9.109375" style="170"/>
  </cols>
  <sheetData>
    <row r="1" spans="1:5" ht="15" thickBot="1" x14ac:dyDescent="0.35">
      <c r="A1" s="28" t="s">
        <v>32</v>
      </c>
      <c r="B1" s="29" t="s">
        <v>33</v>
      </c>
      <c r="C1" s="1" t="s">
        <v>36</v>
      </c>
      <c r="D1" s="1" t="s">
        <v>35</v>
      </c>
      <c r="E1" s="1" t="s">
        <v>37</v>
      </c>
    </row>
    <row r="2" spans="1:5" ht="15.6" thickTop="1" thickBot="1" x14ac:dyDescent="0.35">
      <c r="A2" s="30" t="s">
        <v>39</v>
      </c>
      <c r="B2" s="165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" thickBot="1" x14ac:dyDescent="0.35">
      <c r="A3" s="31" t="s">
        <v>40</v>
      </c>
      <c r="B3" s="165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" thickBot="1" x14ac:dyDescent="0.35">
      <c r="A4" s="31" t="s">
        <v>404</v>
      </c>
      <c r="B4" s="165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" thickBot="1" x14ac:dyDescent="0.35">
      <c r="A5" s="31" t="s">
        <v>405</v>
      </c>
      <c r="B5" s="165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" thickBot="1" x14ac:dyDescent="0.35">
      <c r="A6" s="31" t="s">
        <v>406</v>
      </c>
      <c r="B6" s="165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" thickBot="1" x14ac:dyDescent="0.35">
      <c r="A7" s="31" t="s">
        <v>407</v>
      </c>
      <c r="B7" s="165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" thickBot="1" x14ac:dyDescent="0.35">
      <c r="A8" s="31" t="s">
        <v>408</v>
      </c>
      <c r="B8" s="165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" thickBot="1" x14ac:dyDescent="0.35">
      <c r="A9" s="31" t="s">
        <v>409</v>
      </c>
      <c r="B9" s="165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" thickBot="1" x14ac:dyDescent="0.35">
      <c r="A10" s="31" t="s">
        <v>410</v>
      </c>
      <c r="B10" s="165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" thickBot="1" x14ac:dyDescent="0.35">
      <c r="A11" s="31" t="s">
        <v>411</v>
      </c>
      <c r="B11" s="165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" thickBot="1" x14ac:dyDescent="0.35">
      <c r="A12" s="31" t="s">
        <v>412</v>
      </c>
      <c r="B12" s="165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" thickBot="1" x14ac:dyDescent="0.35">
      <c r="A13" s="31" t="s">
        <v>413</v>
      </c>
      <c r="B13" s="165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" thickBot="1" x14ac:dyDescent="0.35">
      <c r="A14" s="32" t="s">
        <v>414</v>
      </c>
      <c r="B14" s="165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3">
      <c r="C15" s="170" t="str">
        <f>CONCATENATE(C2,C3,C4,C5,C6,C7,C8,C9,C10,C11,C12,C13,C14)</f>
        <v/>
      </c>
      <c r="D15" s="170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70" t="str">
        <f>CONCATENATE(E2,E3,E4,E5,E6,E7,E8,E9,E10,E11,E12,E13,E14)</f>
        <v/>
      </c>
    </row>
  </sheetData>
  <sheetProtection algorithmName="SHA-512" hashValue="NpL/NbLkRGDXUeVfwtLhPxP/xYBn8w4pZx2NgpW0oAw713ZE858yJrHkIeLV5OoouxWle8/9rCz/T5Kk1OCN4A==" saltValue="gIxBsM9qWubKqWYEnMUnyg==" spinCount="100000" sheet="1" objects="1" scenarios="1"/>
  <sortState ref="A2:A14">
    <sortCondition ref="A2"/>
  </sortState>
  <dataValidations count="1">
    <dataValidation type="list" allowBlank="1" showInputMessage="1" showErrorMessage="1" sqref="B2:B14" xr:uid="{00000000-0002-0000-0100-000000000000}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26"/>
  <sheetViews>
    <sheetView showGridLines="0" topLeftCell="J1" workbookViewId="0">
      <selection activeCell="K8" sqref="K8"/>
    </sheetView>
  </sheetViews>
  <sheetFormatPr defaultColWidth="0" defaultRowHeight="14.4" zeroHeight="1" x14ac:dyDescent="0.3"/>
  <cols>
    <col min="1" max="1" width="9.109375" style="81" hidden="1" customWidth="1"/>
    <col min="2" max="4" width="37.109375" style="81" hidden="1" customWidth="1"/>
    <col min="5" max="5" width="32.88671875" style="81" hidden="1" customWidth="1"/>
    <col min="6" max="6" width="6" style="81" hidden="1" customWidth="1"/>
    <col min="7" max="7" width="24" style="81" hidden="1" customWidth="1"/>
    <col min="8" max="8" width="26.6640625" style="81" hidden="1" customWidth="1"/>
    <col min="9" max="9" width="9.109375" style="81" hidden="1" customWidth="1"/>
    <col min="10" max="10" width="20.88671875" style="170" bestFit="1" customWidth="1"/>
    <col min="11" max="11" width="34.109375" style="170" customWidth="1"/>
    <col min="12" max="12" width="16.6640625" style="170" customWidth="1"/>
    <col min="13" max="13" width="36" style="81" hidden="1" customWidth="1"/>
    <col min="14" max="14" width="32.88671875" style="81" hidden="1" customWidth="1"/>
    <col min="15" max="16384" width="9.109375" style="170" hidden="1"/>
  </cols>
  <sheetData>
    <row r="1" spans="1:14" ht="15" thickBot="1" x14ac:dyDescent="0.35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7" t="s">
        <v>415</v>
      </c>
      <c r="K1" s="38" t="s">
        <v>416</v>
      </c>
      <c r="L1" s="29" t="s">
        <v>33</v>
      </c>
      <c r="M1"/>
      <c r="N1"/>
    </row>
    <row r="2" spans="1:14" ht="15" thickTop="1" x14ac:dyDescent="0.3">
      <c r="A2">
        <v>1</v>
      </c>
      <c r="B2" t="s">
        <v>39</v>
      </c>
      <c r="C2" t="s">
        <v>57</v>
      </c>
      <c r="D2" t="s">
        <v>55</v>
      </c>
      <c r="E2" s="201" t="s">
        <v>581</v>
      </c>
      <c r="F2" s="201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66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3">
      <c r="A3">
        <v>2</v>
      </c>
      <c r="B3" t="s">
        <v>39</v>
      </c>
      <c r="C3" t="s">
        <v>365</v>
      </c>
      <c r="D3" t="s">
        <v>46</v>
      </c>
      <c r="E3" s="201" t="s">
        <v>582</v>
      </c>
      <c r="F3" s="201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66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3">
      <c r="A4">
        <v>3</v>
      </c>
      <c r="B4" t="s">
        <v>39</v>
      </c>
      <c r="C4" t="s">
        <v>366</v>
      </c>
      <c r="D4" t="s">
        <v>59</v>
      </c>
      <c r="E4" s="201" t="s">
        <v>583</v>
      </c>
      <c r="F4" s="201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66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3">
      <c r="A5">
        <v>4</v>
      </c>
      <c r="B5" t="s">
        <v>39</v>
      </c>
      <c r="C5" t="s">
        <v>365</v>
      </c>
      <c r="D5" t="s">
        <v>47</v>
      </c>
      <c r="E5" s="201" t="s">
        <v>584</v>
      </c>
      <c r="F5" s="201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66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3">
      <c r="A6">
        <v>5</v>
      </c>
      <c r="B6" t="s">
        <v>39</v>
      </c>
      <c r="C6" t="s">
        <v>42</v>
      </c>
      <c r="D6" t="s">
        <v>41</v>
      </c>
      <c r="E6" s="201" t="s">
        <v>585</v>
      </c>
      <c r="F6" s="201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66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3">
      <c r="A7">
        <v>6</v>
      </c>
      <c r="B7" t="s">
        <v>39</v>
      </c>
      <c r="C7" t="s">
        <v>42</v>
      </c>
      <c r="D7" t="s">
        <v>42</v>
      </c>
      <c r="E7" s="201" t="s">
        <v>586</v>
      </c>
      <c r="F7" s="201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66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3">
      <c r="A8">
        <v>7</v>
      </c>
      <c r="B8" t="s">
        <v>39</v>
      </c>
      <c r="C8" t="s">
        <v>51</v>
      </c>
      <c r="D8" t="s">
        <v>51</v>
      </c>
      <c r="E8" s="201" t="s">
        <v>587</v>
      </c>
      <c r="F8" s="201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66" t="s">
        <v>420</v>
      </c>
      <c r="M8" t="str">
        <f t="shared" si="0"/>
        <v/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9" spans="1:14" x14ac:dyDescent="0.3">
      <c r="A9">
        <v>8</v>
      </c>
      <c r="B9" t="s">
        <v>39</v>
      </c>
      <c r="C9" t="s">
        <v>366</v>
      </c>
      <c r="D9" t="s">
        <v>60</v>
      </c>
      <c r="E9" s="201" t="s">
        <v>588</v>
      </c>
      <c r="F9" s="201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66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</v>
      </c>
    </row>
    <row r="10" spans="1:14" x14ac:dyDescent="0.3">
      <c r="A10">
        <v>9</v>
      </c>
      <c r="B10" t="s">
        <v>39</v>
      </c>
      <c r="C10" t="s">
        <v>52</v>
      </c>
      <c r="D10" t="s">
        <v>52</v>
      </c>
      <c r="E10" s="201" t="s">
        <v>589</v>
      </c>
      <c r="F10" s="201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66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</v>
      </c>
    </row>
    <row r="11" spans="1:14" x14ac:dyDescent="0.3">
      <c r="A11">
        <v>10</v>
      </c>
      <c r="B11" t="s">
        <v>39</v>
      </c>
      <c r="C11" t="s">
        <v>42</v>
      </c>
      <c r="D11" t="s">
        <v>43</v>
      </c>
      <c r="E11" s="201" t="s">
        <v>590</v>
      </c>
      <c r="F11" s="201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66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3">
      <c r="A12">
        <v>11</v>
      </c>
      <c r="B12" t="s">
        <v>39</v>
      </c>
      <c r="C12" t="s">
        <v>366</v>
      </c>
      <c r="D12" t="s">
        <v>61</v>
      </c>
      <c r="E12" s="201" t="s">
        <v>591</v>
      </c>
      <c r="F12" s="201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66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3">
      <c r="A13">
        <v>12</v>
      </c>
      <c r="B13" t="s">
        <v>39</v>
      </c>
      <c r="C13" t="s">
        <v>366</v>
      </c>
      <c r="D13" t="s">
        <v>62</v>
      </c>
      <c r="E13" s="201" t="s">
        <v>592</v>
      </c>
      <c r="F13" s="201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66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3">
      <c r="A14">
        <v>13</v>
      </c>
      <c r="B14" t="s">
        <v>39</v>
      </c>
      <c r="C14" t="s">
        <v>57</v>
      </c>
      <c r="D14" t="s">
        <v>56</v>
      </c>
      <c r="E14" s="201" t="s">
        <v>593</v>
      </c>
      <c r="F14" s="201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66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3">
      <c r="A15">
        <v>14</v>
      </c>
      <c r="B15" t="s">
        <v>39</v>
      </c>
      <c r="C15" t="s">
        <v>52</v>
      </c>
      <c r="D15" t="s">
        <v>53</v>
      </c>
      <c r="E15" s="201" t="s">
        <v>594</v>
      </c>
      <c r="F15" s="201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66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3">
      <c r="A16">
        <v>15</v>
      </c>
      <c r="B16" t="s">
        <v>39</v>
      </c>
      <c r="C16" t="s">
        <v>57</v>
      </c>
      <c r="D16" t="s">
        <v>57</v>
      </c>
      <c r="E16" s="201" t="s">
        <v>595</v>
      </c>
      <c r="F16" s="201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66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3">
      <c r="A17">
        <v>16</v>
      </c>
      <c r="B17" t="s">
        <v>39</v>
      </c>
      <c r="C17" t="s">
        <v>365</v>
      </c>
      <c r="D17" t="s">
        <v>48</v>
      </c>
      <c r="E17" s="201" t="s">
        <v>596</v>
      </c>
      <c r="F17" s="201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66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3">
      <c r="A18">
        <v>17</v>
      </c>
      <c r="B18" t="s">
        <v>39</v>
      </c>
      <c r="C18" t="s">
        <v>52</v>
      </c>
      <c r="D18" t="s">
        <v>54</v>
      </c>
      <c r="E18" s="201" t="s">
        <v>597</v>
      </c>
      <c r="F18" s="201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66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3">
      <c r="A19">
        <v>18</v>
      </c>
      <c r="B19" t="s">
        <v>39</v>
      </c>
      <c r="C19" t="s">
        <v>42</v>
      </c>
      <c r="D19" t="s">
        <v>44</v>
      </c>
      <c r="E19" s="201" t="s">
        <v>598</v>
      </c>
      <c r="F19" s="201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66" t="s">
        <v>420</v>
      </c>
      <c r="M19" t="str">
        <f t="shared" si="0"/>
        <v/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20" spans="1:14" x14ac:dyDescent="0.3">
      <c r="A20">
        <v>19</v>
      </c>
      <c r="B20" t="s">
        <v>39</v>
      </c>
      <c r="C20" t="s">
        <v>42</v>
      </c>
      <c r="D20" t="s">
        <v>45</v>
      </c>
      <c r="E20" s="201" t="s">
        <v>599</v>
      </c>
      <c r="F20" s="201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66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</v>
      </c>
    </row>
    <row r="21" spans="1:14" x14ac:dyDescent="0.3">
      <c r="A21">
        <v>20</v>
      </c>
      <c r="B21" t="s">
        <v>39</v>
      </c>
      <c r="C21" t="s">
        <v>365</v>
      </c>
      <c r="D21" t="s">
        <v>49</v>
      </c>
      <c r="E21" s="201" t="s">
        <v>600</v>
      </c>
      <c r="F21" s="201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66" t="s">
        <v>419</v>
      </c>
      <c r="M21" t="str">
        <f t="shared" si="0"/>
        <v xml:space="preserve">ΑΝΑΤΟΛΙΚΗΣ ΜΑΚΕΔΟΝΙΑΣ ΚΑΙ ΘΡΑΚΗΣ - ΣΑΜΟΘΡΑΚΗΣ, </v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</v>
      </c>
    </row>
    <row r="22" spans="1:14" x14ac:dyDescent="0.3">
      <c r="A22">
        <v>21</v>
      </c>
      <c r="B22" t="s">
        <v>39</v>
      </c>
      <c r="C22" t="s">
        <v>365</v>
      </c>
      <c r="D22" t="s">
        <v>50</v>
      </c>
      <c r="E22" s="201" t="s">
        <v>601</v>
      </c>
      <c r="F22" s="201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66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</v>
      </c>
    </row>
    <row r="23" spans="1:14" x14ac:dyDescent="0.3">
      <c r="A23">
        <v>22</v>
      </c>
      <c r="B23" t="s">
        <v>39</v>
      </c>
      <c r="C23" t="s">
        <v>57</v>
      </c>
      <c r="D23" t="s">
        <v>58</v>
      </c>
      <c r="E23" s="201" t="s">
        <v>602</v>
      </c>
      <c r="F23" s="201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66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</v>
      </c>
    </row>
    <row r="24" spans="1:14" x14ac:dyDescent="0.3">
      <c r="A24">
        <v>23</v>
      </c>
      <c r="B24" t="s">
        <v>40</v>
      </c>
      <c r="C24" t="s">
        <v>370</v>
      </c>
      <c r="D24" t="s">
        <v>93</v>
      </c>
      <c r="E24" s="201" t="s">
        <v>603</v>
      </c>
      <c r="F24" s="201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66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3">
      <c r="A25">
        <v>24</v>
      </c>
      <c r="B25" t="s">
        <v>40</v>
      </c>
      <c r="C25" t="s">
        <v>368</v>
      </c>
      <c r="D25" t="s">
        <v>76</v>
      </c>
      <c r="E25" s="201" t="s">
        <v>604</v>
      </c>
      <c r="F25" s="201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66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3">
      <c r="A26">
        <v>25</v>
      </c>
      <c r="B26" t="s">
        <v>40</v>
      </c>
      <c r="C26" t="s">
        <v>373</v>
      </c>
      <c r="D26" t="s">
        <v>116</v>
      </c>
      <c r="E26" s="201" t="s">
        <v>605</v>
      </c>
      <c r="F26" s="201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66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3">
      <c r="A27">
        <v>26</v>
      </c>
      <c r="B27" t="s">
        <v>40</v>
      </c>
      <c r="C27" t="s">
        <v>370</v>
      </c>
      <c r="D27" t="s">
        <v>94</v>
      </c>
      <c r="E27" s="201" t="s">
        <v>606</v>
      </c>
      <c r="F27" s="201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66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3">
      <c r="A28">
        <v>27</v>
      </c>
      <c r="B28" t="s">
        <v>40</v>
      </c>
      <c r="C28" t="s">
        <v>372</v>
      </c>
      <c r="D28" t="s">
        <v>108</v>
      </c>
      <c r="E28" s="201" t="s">
        <v>607</v>
      </c>
      <c r="F28" s="201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66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3">
      <c r="A29">
        <v>28</v>
      </c>
      <c r="B29" t="s">
        <v>40</v>
      </c>
      <c r="C29" t="s">
        <v>371</v>
      </c>
      <c r="D29" t="s">
        <v>100</v>
      </c>
      <c r="E29" s="201" t="s">
        <v>608</v>
      </c>
      <c r="F29" s="201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66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3">
      <c r="A30">
        <v>29</v>
      </c>
      <c r="B30" t="s">
        <v>40</v>
      </c>
      <c r="C30" t="s">
        <v>370</v>
      </c>
      <c r="D30" t="s">
        <v>95</v>
      </c>
      <c r="E30" s="201" t="s">
        <v>609</v>
      </c>
      <c r="F30" s="201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66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3">
      <c r="A31">
        <v>30</v>
      </c>
      <c r="B31" t="s">
        <v>40</v>
      </c>
      <c r="C31" t="s">
        <v>372</v>
      </c>
      <c r="D31" t="s">
        <v>109</v>
      </c>
      <c r="E31" s="201" t="s">
        <v>610</v>
      </c>
      <c r="F31" s="201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66" t="s">
        <v>419</v>
      </c>
      <c r="M31" t="str">
        <f t="shared" si="0"/>
        <v xml:space="preserve">ΑΤΤΙΚΗΣ - ΑΙΓΙΝΑΣ, </v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</v>
      </c>
    </row>
    <row r="32" spans="1:14" x14ac:dyDescent="0.3">
      <c r="A32">
        <v>31</v>
      </c>
      <c r="B32" t="s">
        <v>40</v>
      </c>
      <c r="C32" t="s">
        <v>373</v>
      </c>
      <c r="D32" t="s">
        <v>117</v>
      </c>
      <c r="E32" s="201" t="s">
        <v>611</v>
      </c>
      <c r="F32" s="201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66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</v>
      </c>
    </row>
    <row r="33" spans="1:14" x14ac:dyDescent="0.3">
      <c r="A33">
        <v>32</v>
      </c>
      <c r="B33" t="s">
        <v>40</v>
      </c>
      <c r="C33" t="s">
        <v>368</v>
      </c>
      <c r="D33" t="s">
        <v>77</v>
      </c>
      <c r="E33" s="201" t="s">
        <v>612</v>
      </c>
      <c r="F33" s="201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66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</v>
      </c>
    </row>
    <row r="34" spans="1:14" x14ac:dyDescent="0.3">
      <c r="A34">
        <v>33</v>
      </c>
      <c r="B34" t="s">
        <v>40</v>
      </c>
      <c r="C34" t="s">
        <v>369</v>
      </c>
      <c r="D34" t="s">
        <v>88</v>
      </c>
      <c r="E34" s="201" t="s">
        <v>613</v>
      </c>
      <c r="F34" s="201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66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</v>
      </c>
    </row>
    <row r="35" spans="1:14" x14ac:dyDescent="0.3">
      <c r="A35">
        <v>34</v>
      </c>
      <c r="B35" t="s">
        <v>40</v>
      </c>
      <c r="C35" t="s">
        <v>367</v>
      </c>
      <c r="D35" t="s">
        <v>63</v>
      </c>
      <c r="E35" s="201" t="s">
        <v>614</v>
      </c>
      <c r="F35" s="201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66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</v>
      </c>
    </row>
    <row r="36" spans="1:14" x14ac:dyDescent="0.3">
      <c r="A36">
        <v>35</v>
      </c>
      <c r="B36" t="s">
        <v>40</v>
      </c>
      <c r="C36" t="s">
        <v>367</v>
      </c>
      <c r="D36" t="s">
        <v>64</v>
      </c>
      <c r="E36" s="201" t="s">
        <v>615</v>
      </c>
      <c r="F36" s="201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66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3">
      <c r="A37">
        <v>36</v>
      </c>
      <c r="B37" t="s">
        <v>40</v>
      </c>
      <c r="C37" t="s">
        <v>368</v>
      </c>
      <c r="D37" t="s">
        <v>78</v>
      </c>
      <c r="E37" s="201" t="s">
        <v>616</v>
      </c>
      <c r="F37" s="201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66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3">
      <c r="A38">
        <v>37</v>
      </c>
      <c r="B38" t="s">
        <v>40</v>
      </c>
      <c r="C38" t="s">
        <v>371</v>
      </c>
      <c r="D38" t="s">
        <v>101</v>
      </c>
      <c r="E38" s="201" t="s">
        <v>617</v>
      </c>
      <c r="F38" s="201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66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3">
      <c r="A39">
        <v>38</v>
      </c>
      <c r="B39" t="s">
        <v>40</v>
      </c>
      <c r="C39" t="s">
        <v>371</v>
      </c>
      <c r="D39" t="s">
        <v>102</v>
      </c>
      <c r="E39" s="201" t="s">
        <v>618</v>
      </c>
      <c r="F39" s="201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66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3">
      <c r="A40">
        <v>39</v>
      </c>
      <c r="B40" t="s">
        <v>40</v>
      </c>
      <c r="C40" t="s">
        <v>373</v>
      </c>
      <c r="D40" t="s">
        <v>118</v>
      </c>
      <c r="E40" s="201" t="s">
        <v>619</v>
      </c>
      <c r="F40" s="201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66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3">
      <c r="A41">
        <v>40</v>
      </c>
      <c r="B41" t="s">
        <v>40</v>
      </c>
      <c r="C41" t="s">
        <v>371</v>
      </c>
      <c r="D41" t="s">
        <v>103</v>
      </c>
      <c r="E41" s="201" t="s">
        <v>620</v>
      </c>
      <c r="F41" s="201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66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3">
      <c r="A42">
        <v>41</v>
      </c>
      <c r="B42" t="s">
        <v>40</v>
      </c>
      <c r="C42" t="s">
        <v>367</v>
      </c>
      <c r="D42" t="s">
        <v>65</v>
      </c>
      <c r="E42" s="201" t="s">
        <v>621</v>
      </c>
      <c r="F42" s="201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66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3">
      <c r="A43">
        <v>42</v>
      </c>
      <c r="B43" t="s">
        <v>40</v>
      </c>
      <c r="C43" t="s">
        <v>369</v>
      </c>
      <c r="D43" t="s">
        <v>89</v>
      </c>
      <c r="E43" s="201" t="s">
        <v>622</v>
      </c>
      <c r="F43" s="201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66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3">
      <c r="A44">
        <v>43</v>
      </c>
      <c r="B44" t="s">
        <v>40</v>
      </c>
      <c r="C44" t="s">
        <v>373</v>
      </c>
      <c r="D44" t="s">
        <v>119</v>
      </c>
      <c r="E44" s="201" t="s">
        <v>623</v>
      </c>
      <c r="F44" s="201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66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3">
      <c r="A45">
        <v>44</v>
      </c>
      <c r="B45" t="s">
        <v>40</v>
      </c>
      <c r="C45" t="s">
        <v>371</v>
      </c>
      <c r="D45" t="s">
        <v>104</v>
      </c>
      <c r="E45" s="201" t="s">
        <v>624</v>
      </c>
      <c r="F45" s="201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66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3">
      <c r="A46">
        <v>45</v>
      </c>
      <c r="B46" t="s">
        <v>40</v>
      </c>
      <c r="C46" t="s">
        <v>371</v>
      </c>
      <c r="D46" t="s">
        <v>105</v>
      </c>
      <c r="E46" s="201" t="s">
        <v>625</v>
      </c>
      <c r="F46" s="201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66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3">
      <c r="A47">
        <v>46</v>
      </c>
      <c r="B47" t="s">
        <v>40</v>
      </c>
      <c r="C47" t="s">
        <v>368</v>
      </c>
      <c r="D47" t="s">
        <v>79</v>
      </c>
      <c r="E47" s="201"/>
      <c r="F47" s="201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66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3">
      <c r="A48">
        <v>47</v>
      </c>
      <c r="B48" t="s">
        <v>40</v>
      </c>
      <c r="C48" t="s">
        <v>370</v>
      </c>
      <c r="D48" t="s">
        <v>96</v>
      </c>
      <c r="E48" s="201" t="s">
        <v>626</v>
      </c>
      <c r="F48" s="201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66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3">
      <c r="A49">
        <v>48</v>
      </c>
      <c r="B49" t="s">
        <v>40</v>
      </c>
      <c r="C49" t="s">
        <v>371</v>
      </c>
      <c r="D49" t="s">
        <v>106</v>
      </c>
      <c r="E49" s="201" t="s">
        <v>627</v>
      </c>
      <c r="F49" s="201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66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3">
      <c r="A50">
        <v>49</v>
      </c>
      <c r="B50" t="s">
        <v>40</v>
      </c>
      <c r="C50" t="s">
        <v>373</v>
      </c>
      <c r="D50" t="s">
        <v>120</v>
      </c>
      <c r="E50" s="201" t="s">
        <v>628</v>
      </c>
      <c r="F50" s="201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66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3">
      <c r="A51">
        <v>50</v>
      </c>
      <c r="B51" t="s">
        <v>40</v>
      </c>
      <c r="C51" t="s">
        <v>127</v>
      </c>
      <c r="D51" t="s">
        <v>124</v>
      </c>
      <c r="E51" s="201" t="s">
        <v>629</v>
      </c>
      <c r="F51" s="201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66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3">
      <c r="A52">
        <v>51</v>
      </c>
      <c r="B52" t="s">
        <v>40</v>
      </c>
      <c r="C52" t="s">
        <v>368</v>
      </c>
      <c r="D52" t="s">
        <v>80</v>
      </c>
      <c r="E52" s="201" t="s">
        <v>630</v>
      </c>
      <c r="F52" s="201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66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3">
      <c r="A53">
        <v>52</v>
      </c>
      <c r="B53" t="s">
        <v>40</v>
      </c>
      <c r="C53" t="s">
        <v>127</v>
      </c>
      <c r="D53" t="s">
        <v>125</v>
      </c>
      <c r="E53" s="201" t="s">
        <v>631</v>
      </c>
      <c r="F53" s="201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66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3">
      <c r="A54">
        <v>53</v>
      </c>
      <c r="B54" t="s">
        <v>40</v>
      </c>
      <c r="C54" t="s">
        <v>367</v>
      </c>
      <c r="D54" t="s">
        <v>66</v>
      </c>
      <c r="E54" s="201" t="s">
        <v>632</v>
      </c>
      <c r="F54" s="201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66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3">
      <c r="A55">
        <v>54</v>
      </c>
      <c r="B55" t="s">
        <v>40</v>
      </c>
      <c r="C55" t="s">
        <v>372</v>
      </c>
      <c r="D55" t="s">
        <v>110</v>
      </c>
      <c r="E55" s="201" t="s">
        <v>633</v>
      </c>
      <c r="F55" s="201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66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3">
      <c r="A56">
        <v>55</v>
      </c>
      <c r="B56" t="s">
        <v>40</v>
      </c>
      <c r="C56" t="s">
        <v>367</v>
      </c>
      <c r="D56" t="s">
        <v>67</v>
      </c>
      <c r="E56" s="201" t="s">
        <v>634</v>
      </c>
      <c r="F56" s="201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66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3">
      <c r="A57">
        <v>56</v>
      </c>
      <c r="B57" t="s">
        <v>40</v>
      </c>
      <c r="C57" t="s">
        <v>368</v>
      </c>
      <c r="D57" t="s">
        <v>81</v>
      </c>
      <c r="E57" s="201" t="s">
        <v>635</v>
      </c>
      <c r="F57" s="201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66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3">
      <c r="A58">
        <v>57</v>
      </c>
      <c r="B58" t="s">
        <v>40</v>
      </c>
      <c r="C58" t="s">
        <v>369</v>
      </c>
      <c r="D58" t="s">
        <v>90</v>
      </c>
      <c r="E58" s="201" t="s">
        <v>636</v>
      </c>
      <c r="F58" s="201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66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3">
      <c r="A59">
        <v>58</v>
      </c>
      <c r="B59" t="s">
        <v>40</v>
      </c>
      <c r="C59" t="s">
        <v>367</v>
      </c>
      <c r="D59" t="s">
        <v>68</v>
      </c>
      <c r="E59" s="201" t="s">
        <v>637</v>
      </c>
      <c r="F59" s="201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66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3">
      <c r="A60">
        <v>59</v>
      </c>
      <c r="B60" t="s">
        <v>40</v>
      </c>
      <c r="C60" t="s">
        <v>367</v>
      </c>
      <c r="D60" t="s">
        <v>69</v>
      </c>
      <c r="E60" s="201" t="s">
        <v>638</v>
      </c>
      <c r="F60" s="201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66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3">
      <c r="A61">
        <v>60</v>
      </c>
      <c r="B61" t="s">
        <v>40</v>
      </c>
      <c r="C61" t="s">
        <v>369</v>
      </c>
      <c r="D61" t="s">
        <v>91</v>
      </c>
      <c r="E61" s="201" t="s">
        <v>639</v>
      </c>
      <c r="F61" s="201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66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3">
      <c r="A62">
        <v>61</v>
      </c>
      <c r="B62" t="s">
        <v>40</v>
      </c>
      <c r="C62" t="s">
        <v>368</v>
      </c>
      <c r="D62" t="s">
        <v>82</v>
      </c>
      <c r="E62" s="201" t="s">
        <v>640</v>
      </c>
      <c r="F62" s="201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66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3">
      <c r="A63">
        <v>62</v>
      </c>
      <c r="B63" t="s">
        <v>40</v>
      </c>
      <c r="C63" t="s">
        <v>373</v>
      </c>
      <c r="D63" t="s">
        <v>121</v>
      </c>
      <c r="E63" s="201" t="s">
        <v>641</v>
      </c>
      <c r="F63" s="201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66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3">
      <c r="A64">
        <v>63</v>
      </c>
      <c r="B64" t="s">
        <v>40</v>
      </c>
      <c r="C64" t="s">
        <v>368</v>
      </c>
      <c r="D64" t="s">
        <v>83</v>
      </c>
      <c r="E64" s="201" t="s">
        <v>642</v>
      </c>
      <c r="F64" s="201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66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3">
      <c r="A65">
        <v>64</v>
      </c>
      <c r="B65" t="s">
        <v>40</v>
      </c>
      <c r="C65" t="s">
        <v>373</v>
      </c>
      <c r="D65" t="s">
        <v>122</v>
      </c>
      <c r="E65" s="201" t="s">
        <v>643</v>
      </c>
      <c r="F65" s="201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66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3">
      <c r="A66">
        <v>65</v>
      </c>
      <c r="B66" t="s">
        <v>40</v>
      </c>
      <c r="C66" t="s">
        <v>127</v>
      </c>
      <c r="D66" t="s">
        <v>126</v>
      </c>
      <c r="E66" s="201" t="s">
        <v>644</v>
      </c>
      <c r="F66" s="201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66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3">
      <c r="A67">
        <v>66</v>
      </c>
      <c r="B67" t="s">
        <v>40</v>
      </c>
      <c r="C67" t="s">
        <v>367</v>
      </c>
      <c r="D67" t="s">
        <v>70</v>
      </c>
      <c r="E67" s="201" t="s">
        <v>645</v>
      </c>
      <c r="F67" s="201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66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3">
      <c r="A68">
        <v>67</v>
      </c>
      <c r="B68" t="s">
        <v>40</v>
      </c>
      <c r="C68" t="s">
        <v>373</v>
      </c>
      <c r="D68" t="s">
        <v>123</v>
      </c>
      <c r="E68" s="201" t="s">
        <v>646</v>
      </c>
      <c r="F68" s="201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66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3">
      <c r="A69">
        <v>68</v>
      </c>
      <c r="B69" t="s">
        <v>40</v>
      </c>
      <c r="C69" t="s">
        <v>367</v>
      </c>
      <c r="D69" t="s">
        <v>71</v>
      </c>
      <c r="E69" s="201" t="s">
        <v>647</v>
      </c>
      <c r="F69" s="201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66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3">
      <c r="A70">
        <v>69</v>
      </c>
      <c r="B70" t="s">
        <v>40</v>
      </c>
      <c r="C70" t="s">
        <v>368</v>
      </c>
      <c r="D70" t="s">
        <v>84</v>
      </c>
      <c r="E70" s="201" t="s">
        <v>648</v>
      </c>
      <c r="F70" s="201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66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3">
      <c r="A71">
        <v>70</v>
      </c>
      <c r="B71" t="s">
        <v>40</v>
      </c>
      <c r="C71" t="s">
        <v>127</v>
      </c>
      <c r="D71" t="s">
        <v>127</v>
      </c>
      <c r="E71" s="201" t="s">
        <v>649</v>
      </c>
      <c r="F71" s="201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66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3">
      <c r="A72">
        <v>71</v>
      </c>
      <c r="B72" t="s">
        <v>40</v>
      </c>
      <c r="C72" t="s">
        <v>368</v>
      </c>
      <c r="D72" t="s">
        <v>85</v>
      </c>
      <c r="E72" s="201" t="s">
        <v>650</v>
      </c>
      <c r="F72" s="201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66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3">
      <c r="A73">
        <v>72</v>
      </c>
      <c r="B73" t="s">
        <v>40</v>
      </c>
      <c r="C73" t="s">
        <v>127</v>
      </c>
      <c r="D73" t="s">
        <v>128</v>
      </c>
      <c r="E73" s="201" t="s">
        <v>651</v>
      </c>
      <c r="F73" s="201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66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3">
      <c r="A74">
        <v>73</v>
      </c>
      <c r="B74" t="s">
        <v>40</v>
      </c>
      <c r="C74" t="s">
        <v>370</v>
      </c>
      <c r="D74" t="s">
        <v>97</v>
      </c>
      <c r="E74" s="201" t="s">
        <v>652</v>
      </c>
      <c r="F74" s="201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66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3">
      <c r="A75">
        <v>74</v>
      </c>
      <c r="B75" t="s">
        <v>40</v>
      </c>
      <c r="C75" t="s">
        <v>370</v>
      </c>
      <c r="D75" t="s">
        <v>98</v>
      </c>
      <c r="E75" s="201" t="s">
        <v>653</v>
      </c>
      <c r="F75" s="201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66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3">
      <c r="A76">
        <v>75</v>
      </c>
      <c r="B76" t="s">
        <v>40</v>
      </c>
      <c r="C76" t="s">
        <v>372</v>
      </c>
      <c r="D76" t="s">
        <v>111</v>
      </c>
      <c r="E76" s="201" t="s">
        <v>654</v>
      </c>
      <c r="F76" s="201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66" t="s">
        <v>419</v>
      </c>
      <c r="M76" t="str">
        <f t="shared" si="6"/>
        <v xml:space="preserve">ΑΤΤΙΚΗΣ - ΠΟΡΟΥ, </v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</v>
      </c>
    </row>
    <row r="77" spans="1:14" x14ac:dyDescent="0.3">
      <c r="A77">
        <v>76</v>
      </c>
      <c r="B77" t="s">
        <v>40</v>
      </c>
      <c r="C77" t="s">
        <v>367</v>
      </c>
      <c r="D77" t="s">
        <v>72</v>
      </c>
      <c r="E77" s="201" t="s">
        <v>655</v>
      </c>
      <c r="F77" s="201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66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</v>
      </c>
    </row>
    <row r="78" spans="1:14" x14ac:dyDescent="0.3">
      <c r="A78">
        <v>77</v>
      </c>
      <c r="B78" t="s">
        <v>40</v>
      </c>
      <c r="C78" t="s">
        <v>372</v>
      </c>
      <c r="D78" t="s">
        <v>112</v>
      </c>
      <c r="E78" s="201" t="s">
        <v>656</v>
      </c>
      <c r="F78" s="201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66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</v>
      </c>
    </row>
    <row r="79" spans="1:14" x14ac:dyDescent="0.3">
      <c r="A79">
        <v>78</v>
      </c>
      <c r="B79" t="s">
        <v>40</v>
      </c>
      <c r="C79" t="s">
        <v>367</v>
      </c>
      <c r="D79" t="s">
        <v>73</v>
      </c>
      <c r="E79" s="201" t="s">
        <v>657</v>
      </c>
      <c r="F79" s="201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66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</v>
      </c>
    </row>
    <row r="80" spans="1:14" x14ac:dyDescent="0.3">
      <c r="A80">
        <v>79</v>
      </c>
      <c r="B80" t="s">
        <v>40</v>
      </c>
      <c r="C80" t="s">
        <v>367</v>
      </c>
      <c r="D80" t="s">
        <v>74</v>
      </c>
      <c r="E80" s="201" t="s">
        <v>658</v>
      </c>
      <c r="F80" s="201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66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</v>
      </c>
    </row>
    <row r="81" spans="1:14" x14ac:dyDescent="0.3">
      <c r="A81">
        <v>80</v>
      </c>
      <c r="B81" t="s">
        <v>40</v>
      </c>
      <c r="C81" t="s">
        <v>372</v>
      </c>
      <c r="D81" t="s">
        <v>113</v>
      </c>
      <c r="E81" s="201" t="s">
        <v>659</v>
      </c>
      <c r="F81" s="201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66" t="s">
        <v>419</v>
      </c>
      <c r="M81" t="str">
        <f t="shared" si="6"/>
        <v xml:space="preserve">ΑΤΤΙΚΗΣ - ΣΠΕΤΣΩΝ, </v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</v>
      </c>
    </row>
    <row r="82" spans="1:14" x14ac:dyDescent="0.3">
      <c r="A82">
        <v>81</v>
      </c>
      <c r="B82" t="s">
        <v>40</v>
      </c>
      <c r="C82" t="s">
        <v>372</v>
      </c>
      <c r="D82" t="s">
        <v>114</v>
      </c>
      <c r="E82" s="201" t="s">
        <v>660</v>
      </c>
      <c r="F82" s="201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66" t="s">
        <v>419</v>
      </c>
      <c r="M82" t="str">
        <f t="shared" si="6"/>
        <v xml:space="preserve">ΑΤΤΙΚΗΣ - ΤΡΟΙΖΗΝΙΑΣ, </v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</v>
      </c>
    </row>
    <row r="83" spans="1:14" x14ac:dyDescent="0.3">
      <c r="A83">
        <v>82</v>
      </c>
      <c r="B83" t="s">
        <v>40</v>
      </c>
      <c r="C83" t="s">
        <v>372</v>
      </c>
      <c r="D83" t="s">
        <v>115</v>
      </c>
      <c r="E83" s="201" t="s">
        <v>661</v>
      </c>
      <c r="F83" s="201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66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</v>
      </c>
    </row>
    <row r="84" spans="1:14" x14ac:dyDescent="0.3">
      <c r="A84">
        <v>83</v>
      </c>
      <c r="B84" t="s">
        <v>40</v>
      </c>
      <c r="C84" t="s">
        <v>371</v>
      </c>
      <c r="D84" t="s">
        <v>107</v>
      </c>
      <c r="E84" s="201" t="s">
        <v>662</v>
      </c>
      <c r="F84" s="201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66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</v>
      </c>
    </row>
    <row r="85" spans="1:14" x14ac:dyDescent="0.3">
      <c r="A85">
        <v>84</v>
      </c>
      <c r="B85" t="s">
        <v>40</v>
      </c>
      <c r="C85" t="s">
        <v>368</v>
      </c>
      <c r="D85" t="s">
        <v>86</v>
      </c>
      <c r="E85" s="201" t="s">
        <v>663</v>
      </c>
      <c r="F85" s="201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66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</v>
      </c>
    </row>
    <row r="86" spans="1:14" x14ac:dyDescent="0.3">
      <c r="A86">
        <v>85</v>
      </c>
      <c r="B86" t="s">
        <v>40</v>
      </c>
      <c r="C86" t="s">
        <v>369</v>
      </c>
      <c r="D86" t="s">
        <v>92</v>
      </c>
      <c r="E86" s="201" t="s">
        <v>664</v>
      </c>
      <c r="F86" s="201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66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</v>
      </c>
    </row>
    <row r="87" spans="1:14" x14ac:dyDescent="0.3">
      <c r="A87">
        <v>86</v>
      </c>
      <c r="B87" t="s">
        <v>40</v>
      </c>
      <c r="C87" t="s">
        <v>370</v>
      </c>
      <c r="D87" t="s">
        <v>99</v>
      </c>
      <c r="E87" s="201" t="s">
        <v>665</v>
      </c>
      <c r="F87" s="201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66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</v>
      </c>
    </row>
    <row r="88" spans="1:14" x14ac:dyDescent="0.3">
      <c r="A88">
        <v>87</v>
      </c>
      <c r="B88" t="s">
        <v>40</v>
      </c>
      <c r="C88" t="s">
        <v>368</v>
      </c>
      <c r="D88" t="s">
        <v>87</v>
      </c>
      <c r="E88" s="201" t="s">
        <v>666</v>
      </c>
      <c r="F88" s="201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66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3">
      <c r="A89">
        <v>88</v>
      </c>
      <c r="B89" t="s">
        <v>40</v>
      </c>
      <c r="C89" t="s">
        <v>367</v>
      </c>
      <c r="D89" t="s">
        <v>75</v>
      </c>
      <c r="E89" s="201" t="s">
        <v>667</v>
      </c>
      <c r="F89" s="201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66" t="s">
        <v>419</v>
      </c>
      <c r="M89" t="str">
        <f t="shared" si="6"/>
        <v xml:space="preserve">ΑΤΤΙΚΗΣ - ΩΡΩΠΟΥ, </v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0" spans="1:14" x14ac:dyDescent="0.3">
      <c r="A90">
        <v>89</v>
      </c>
      <c r="B90" t="s">
        <v>404</v>
      </c>
      <c r="C90" t="s">
        <v>133</v>
      </c>
      <c r="D90" t="s">
        <v>132</v>
      </c>
      <c r="E90" s="201" t="s">
        <v>668</v>
      </c>
      <c r="F90" s="201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66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1" spans="1:14" x14ac:dyDescent="0.3">
      <c r="A91">
        <v>90</v>
      </c>
      <c r="B91" t="s">
        <v>404</v>
      </c>
      <c r="C91" t="s">
        <v>129</v>
      </c>
      <c r="D91" t="s">
        <v>129</v>
      </c>
      <c r="E91" s="201" t="s">
        <v>669</v>
      </c>
      <c r="F91" s="201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66" t="s">
        <v>420</v>
      </c>
      <c r="M91" t="str">
        <f t="shared" si="6"/>
        <v/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</v>
      </c>
    </row>
    <row r="92" spans="1:14" x14ac:dyDescent="0.3">
      <c r="A92">
        <v>91</v>
      </c>
      <c r="B92" t="s">
        <v>404</v>
      </c>
      <c r="C92" t="s">
        <v>131</v>
      </c>
      <c r="D92" t="s">
        <v>131</v>
      </c>
      <c r="E92" s="201" t="s">
        <v>670</v>
      </c>
      <c r="F92" s="201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66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</v>
      </c>
    </row>
    <row r="93" spans="1:14" x14ac:dyDescent="0.3">
      <c r="A93">
        <v>92</v>
      </c>
      <c r="B93" t="s">
        <v>404</v>
      </c>
      <c r="C93" t="s">
        <v>133</v>
      </c>
      <c r="D93" t="s">
        <v>133</v>
      </c>
      <c r="E93" s="201" t="s">
        <v>671</v>
      </c>
      <c r="F93" s="201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66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</v>
      </c>
    </row>
    <row r="94" spans="1:14" x14ac:dyDescent="0.3">
      <c r="A94">
        <v>93</v>
      </c>
      <c r="B94" t="s">
        <v>404</v>
      </c>
      <c r="C94" t="s">
        <v>136</v>
      </c>
      <c r="D94" t="s">
        <v>135</v>
      </c>
      <c r="E94" s="201" t="s">
        <v>672</v>
      </c>
      <c r="F94" s="201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66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</v>
      </c>
    </row>
    <row r="95" spans="1:14" x14ac:dyDescent="0.3">
      <c r="A95">
        <v>94</v>
      </c>
      <c r="B95" t="s">
        <v>404</v>
      </c>
      <c r="C95" t="s">
        <v>134</v>
      </c>
      <c r="D95" t="s">
        <v>134</v>
      </c>
      <c r="E95" s="201" t="s">
        <v>673</v>
      </c>
      <c r="F95" s="201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66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</v>
      </c>
    </row>
    <row r="96" spans="1:14" x14ac:dyDescent="0.3">
      <c r="A96">
        <v>95</v>
      </c>
      <c r="B96" t="s">
        <v>404</v>
      </c>
      <c r="C96" t="s">
        <v>129</v>
      </c>
      <c r="D96" t="s">
        <v>130</v>
      </c>
      <c r="E96" s="201" t="s">
        <v>674</v>
      </c>
      <c r="F96" s="201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66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</v>
      </c>
    </row>
    <row r="97" spans="1:14" x14ac:dyDescent="0.3">
      <c r="A97">
        <v>96</v>
      </c>
      <c r="B97" t="s">
        <v>404</v>
      </c>
      <c r="C97" t="s">
        <v>136</v>
      </c>
      <c r="D97" t="s">
        <v>136</v>
      </c>
      <c r="E97" s="201" t="s">
        <v>675</v>
      </c>
      <c r="F97" s="201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66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</v>
      </c>
    </row>
    <row r="98" spans="1:14" x14ac:dyDescent="0.3">
      <c r="A98">
        <v>97</v>
      </c>
      <c r="B98" t="s">
        <v>404</v>
      </c>
      <c r="C98" t="s">
        <v>136</v>
      </c>
      <c r="D98" t="s">
        <v>137</v>
      </c>
      <c r="E98" s="201" t="s">
        <v>676</v>
      </c>
      <c r="F98" s="201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66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</v>
      </c>
    </row>
    <row r="99" spans="1:14" x14ac:dyDescent="0.3">
      <c r="A99">
        <v>98</v>
      </c>
      <c r="B99" t="s">
        <v>405</v>
      </c>
      <c r="C99" t="s">
        <v>374</v>
      </c>
      <c r="D99" t="s">
        <v>138</v>
      </c>
      <c r="E99" s="201" t="s">
        <v>677</v>
      </c>
      <c r="F99" s="201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66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3">
      <c r="A100">
        <v>99</v>
      </c>
      <c r="B100" t="s">
        <v>405</v>
      </c>
      <c r="C100" t="s">
        <v>375</v>
      </c>
      <c r="D100" t="s">
        <v>145</v>
      </c>
      <c r="E100" s="201" t="s">
        <v>678</v>
      </c>
      <c r="F100" s="201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66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3">
      <c r="A101">
        <v>100</v>
      </c>
      <c r="B101" t="s">
        <v>405</v>
      </c>
      <c r="C101" t="s">
        <v>374</v>
      </c>
      <c r="D101" t="s">
        <v>139</v>
      </c>
      <c r="E101" s="201" t="s">
        <v>679</v>
      </c>
      <c r="F101" s="201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66" t="s">
        <v>419</v>
      </c>
      <c r="M101" t="str">
        <f t="shared" si="6"/>
        <v xml:space="preserve">ΔΥΤΙΚΗΣ ΕΛΛΑΔΑΣ - ΑΚΤΙΟΥ – ΒΟΝΙΤΣΑΣ, </v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</v>
      </c>
    </row>
    <row r="102" spans="1:14" x14ac:dyDescent="0.3">
      <c r="A102">
        <v>101</v>
      </c>
      <c r="B102" t="s">
        <v>405</v>
      </c>
      <c r="C102" t="s">
        <v>374</v>
      </c>
      <c r="D102" t="s">
        <v>140</v>
      </c>
      <c r="E102" s="201" t="s">
        <v>680</v>
      </c>
      <c r="F102" s="201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66" t="s">
        <v>419</v>
      </c>
      <c r="M102" t="str">
        <f t="shared" si="6"/>
        <v xml:space="preserve">ΔΥΤΙΚΗΣ ΕΛΛΑΔΑΣ - ΑΜΦΙΛΟΧΙΑΣ, </v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</v>
      </c>
    </row>
    <row r="103" spans="1:14" x14ac:dyDescent="0.3">
      <c r="A103">
        <v>102</v>
      </c>
      <c r="B103" t="s">
        <v>405</v>
      </c>
      <c r="C103" t="s">
        <v>376</v>
      </c>
      <c r="D103" t="s">
        <v>150</v>
      </c>
      <c r="E103" s="201" t="s">
        <v>681</v>
      </c>
      <c r="F103" s="201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66" t="s">
        <v>419</v>
      </c>
      <c r="M103" t="str">
        <f t="shared" si="6"/>
        <v xml:space="preserve">ΔΥΤΙΚΗΣ ΕΛΛΑΔΑΣ - ΑΝΔΡΑΒΙΔΑΣ – ΚΥΛΛΗΝΗΣ, </v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</v>
      </c>
    </row>
    <row r="104" spans="1:14" x14ac:dyDescent="0.3">
      <c r="A104">
        <v>103</v>
      </c>
      <c r="B104" t="s">
        <v>405</v>
      </c>
      <c r="C104" t="s">
        <v>376</v>
      </c>
      <c r="D104" t="s">
        <v>151</v>
      </c>
      <c r="E104" s="201" t="s">
        <v>682</v>
      </c>
      <c r="F104" s="201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66" t="s">
        <v>419</v>
      </c>
      <c r="M104" t="str">
        <f t="shared" si="6"/>
        <v xml:space="preserve">ΔΥΤΙΚΗΣ ΕΛΛΑΔΑΣ - ΑΝΔΡΙΤΣΑΙΝΑΣ – ΚΡΕΣΤΕΝΩΝ, </v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</v>
      </c>
    </row>
    <row r="105" spans="1:14" x14ac:dyDescent="0.3">
      <c r="A105">
        <v>104</v>
      </c>
      <c r="B105" t="s">
        <v>405</v>
      </c>
      <c r="C105" t="s">
        <v>376</v>
      </c>
      <c r="D105" t="s">
        <v>152</v>
      </c>
      <c r="E105" s="201" t="s">
        <v>683</v>
      </c>
      <c r="F105" s="201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66" t="s">
        <v>419</v>
      </c>
      <c r="M105" t="str">
        <f t="shared" si="6"/>
        <v xml:space="preserve">ΔΥΤΙΚΗΣ ΕΛΛΑΔΑΣ - ΑΡΧΑΙΑΣ ΟΛΥΜΠΙΑΣ, </v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</v>
      </c>
    </row>
    <row r="106" spans="1:14" x14ac:dyDescent="0.3">
      <c r="A106">
        <v>105</v>
      </c>
      <c r="B106" t="s">
        <v>405</v>
      </c>
      <c r="C106" t="s">
        <v>375</v>
      </c>
      <c r="D106" t="s">
        <v>146</v>
      </c>
      <c r="E106" s="201" t="s">
        <v>684</v>
      </c>
      <c r="F106" s="201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66" t="s">
        <v>419</v>
      </c>
      <c r="M106" t="str">
        <f t="shared" si="6"/>
        <v xml:space="preserve">ΔΥΤΙΚΗΣ ΕΛΛΑΔΑΣ - ΔΥΤΙΚΗΣ ΑΧΑΪΑΣ, </v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</v>
      </c>
    </row>
    <row r="107" spans="1:14" x14ac:dyDescent="0.3">
      <c r="A107">
        <v>106</v>
      </c>
      <c r="B107" t="s">
        <v>405</v>
      </c>
      <c r="C107" t="s">
        <v>375</v>
      </c>
      <c r="D107" t="s">
        <v>147</v>
      </c>
      <c r="E107" s="201" t="s">
        <v>685</v>
      </c>
      <c r="F107" s="201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66" t="s">
        <v>419</v>
      </c>
      <c r="M107" t="str">
        <f t="shared" si="6"/>
        <v xml:space="preserve">ΔΥΤΙΚΗΣ ΕΛΛΑΔΑΣ - ΕΡΥΜΑΝΘΟΥ, </v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</v>
      </c>
    </row>
    <row r="108" spans="1:14" x14ac:dyDescent="0.3">
      <c r="A108">
        <v>107</v>
      </c>
      <c r="B108" t="s">
        <v>405</v>
      </c>
      <c r="C108" t="s">
        <v>376</v>
      </c>
      <c r="D108" t="s">
        <v>153</v>
      </c>
      <c r="E108" s="201" t="s">
        <v>686</v>
      </c>
      <c r="F108" s="201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66" t="s">
        <v>419</v>
      </c>
      <c r="M108" t="str">
        <f t="shared" si="6"/>
        <v xml:space="preserve">ΔΥΤΙΚΗΣ ΕΛΛΑΔΑΣ - ΖΑΧΑΡΩΣ, </v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</v>
      </c>
    </row>
    <row r="109" spans="1:14" x14ac:dyDescent="0.3">
      <c r="A109">
        <v>108</v>
      </c>
      <c r="B109" t="s">
        <v>405</v>
      </c>
      <c r="C109" t="s">
        <v>376</v>
      </c>
      <c r="D109" t="s">
        <v>154</v>
      </c>
      <c r="E109" s="201" t="s">
        <v>687</v>
      </c>
      <c r="F109" s="201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66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</v>
      </c>
    </row>
    <row r="110" spans="1:14" x14ac:dyDescent="0.3">
      <c r="A110">
        <v>109</v>
      </c>
      <c r="B110" t="s">
        <v>405</v>
      </c>
      <c r="C110" t="s">
        <v>374</v>
      </c>
      <c r="D110" t="s">
        <v>141</v>
      </c>
      <c r="E110" s="201" t="s">
        <v>688</v>
      </c>
      <c r="F110" s="201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66" t="s">
        <v>419</v>
      </c>
      <c r="M110" t="str">
        <f t="shared" si="6"/>
        <v xml:space="preserve">ΔΥΤΙΚΗΣ ΕΛΛΑΔΑΣ - ΘΕΡΜΟΥ, </v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</v>
      </c>
    </row>
    <row r="111" spans="1:14" x14ac:dyDescent="0.3">
      <c r="A111">
        <v>110</v>
      </c>
      <c r="B111" t="s">
        <v>405</v>
      </c>
      <c r="C111" t="s">
        <v>374</v>
      </c>
      <c r="D111" t="s">
        <v>142</v>
      </c>
      <c r="E111" s="201" t="s">
        <v>689</v>
      </c>
      <c r="F111" s="201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66" t="s">
        <v>419</v>
      </c>
      <c r="M111" t="str">
        <f t="shared" si="6"/>
        <v xml:space="preserve">ΔΥΤΙΚΗΣ ΕΛΛΑΔΑΣ - ΙΕΡΑΣ ΠΟΛΗΣ ΜΕΣΟΛΟΓΓΙΟΥ, </v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</v>
      </c>
    </row>
    <row r="112" spans="1:14" x14ac:dyDescent="0.3">
      <c r="A112">
        <v>111</v>
      </c>
      <c r="B112" t="s">
        <v>405</v>
      </c>
      <c r="C112" t="s">
        <v>375</v>
      </c>
      <c r="D112" t="s">
        <v>148</v>
      </c>
      <c r="E112" s="201" t="s">
        <v>690</v>
      </c>
      <c r="F112" s="201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66" t="s">
        <v>419</v>
      </c>
      <c r="M112" t="str">
        <f t="shared" si="6"/>
        <v xml:space="preserve">ΔΥΤΙΚΗΣ ΕΛΛΑΔΑΣ - ΚΑΛΑΒΡΥΤΩΝ, </v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</v>
      </c>
    </row>
    <row r="113" spans="1:14" x14ac:dyDescent="0.3">
      <c r="A113">
        <v>112</v>
      </c>
      <c r="B113" t="s">
        <v>405</v>
      </c>
      <c r="C113" t="s">
        <v>374</v>
      </c>
      <c r="D113" t="s">
        <v>143</v>
      </c>
      <c r="E113" s="201" t="s">
        <v>691</v>
      </c>
      <c r="F113" s="201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66" t="s">
        <v>419</v>
      </c>
      <c r="M113" t="str">
        <f t="shared" si="6"/>
        <v xml:space="preserve">ΔΥΤΙΚΗΣ ΕΛΛΑΔΑΣ - ΝΑΥΠΑΚΤΙΑΣ, </v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</v>
      </c>
    </row>
    <row r="114" spans="1:14" x14ac:dyDescent="0.3">
      <c r="A114">
        <v>113</v>
      </c>
      <c r="B114" t="s">
        <v>405</v>
      </c>
      <c r="C114" t="s">
        <v>374</v>
      </c>
      <c r="D114" t="s">
        <v>144</v>
      </c>
      <c r="E114" s="201" t="s">
        <v>692</v>
      </c>
      <c r="F114" s="201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66" t="s">
        <v>419</v>
      </c>
      <c r="M114" t="str">
        <f t="shared" si="6"/>
        <v xml:space="preserve">ΔΥΤΙΚΗΣ ΕΛΛΑΔΑΣ - ΞΗΡΟΜΕΡΟΥ, </v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</v>
      </c>
    </row>
    <row r="115" spans="1:14" x14ac:dyDescent="0.3">
      <c r="A115">
        <v>114</v>
      </c>
      <c r="B115" t="s">
        <v>405</v>
      </c>
      <c r="C115" t="s">
        <v>375</v>
      </c>
      <c r="D115" t="s">
        <v>149</v>
      </c>
      <c r="E115" s="201" t="s">
        <v>693</v>
      </c>
      <c r="F115" s="201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66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</v>
      </c>
    </row>
    <row r="116" spans="1:14" x14ac:dyDescent="0.3">
      <c r="A116">
        <v>115</v>
      </c>
      <c r="B116" t="s">
        <v>405</v>
      </c>
      <c r="C116" t="s">
        <v>376</v>
      </c>
      <c r="D116" t="s">
        <v>155</v>
      </c>
      <c r="E116" s="201" t="s">
        <v>694</v>
      </c>
      <c r="F116" s="201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66" t="s">
        <v>419</v>
      </c>
      <c r="M116" t="str">
        <f t="shared" si="6"/>
        <v xml:space="preserve">ΔΥΤΙΚΗΣ ΕΛΛΑΔΑΣ - ΠΗΝΕΙΟΥ, </v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</v>
      </c>
    </row>
    <row r="117" spans="1:14" x14ac:dyDescent="0.3">
      <c r="A117">
        <v>116</v>
      </c>
      <c r="B117" t="s">
        <v>405</v>
      </c>
      <c r="C117" t="s">
        <v>376</v>
      </c>
      <c r="D117" t="s">
        <v>156</v>
      </c>
      <c r="E117" s="201" t="s">
        <v>695</v>
      </c>
      <c r="F117" s="201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66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</v>
      </c>
    </row>
    <row r="118" spans="1:14" x14ac:dyDescent="0.3">
      <c r="A118">
        <v>117</v>
      </c>
      <c r="B118" t="s">
        <v>406</v>
      </c>
      <c r="C118" t="s">
        <v>168</v>
      </c>
      <c r="D118" t="s">
        <v>166</v>
      </c>
      <c r="E118" s="201" t="s">
        <v>696</v>
      </c>
      <c r="F118" s="201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66" t="s">
        <v>419</v>
      </c>
      <c r="M118" t="str">
        <f t="shared" si="6"/>
        <v xml:space="preserve">ΔΥΤΙΚΗΣ ΜΑΚΕΔΟΝΙΑΣ - ΑΜΥΝΤΑΙΟΥ, </v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</v>
      </c>
    </row>
    <row r="119" spans="1:14" x14ac:dyDescent="0.3">
      <c r="A119">
        <v>118</v>
      </c>
      <c r="B119" t="s">
        <v>406</v>
      </c>
      <c r="C119" t="s">
        <v>164</v>
      </c>
      <c r="D119" t="s">
        <v>162</v>
      </c>
      <c r="E119" s="201" t="s">
        <v>697</v>
      </c>
      <c r="F119" s="201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66" t="s">
        <v>419</v>
      </c>
      <c r="M119" t="str">
        <f t="shared" si="6"/>
        <v xml:space="preserve">ΔΥΤΙΚΗΣ ΜΑΚΕΔΟΝΙΑΣ - ΒΟΪΟΥ, </v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</v>
      </c>
    </row>
    <row r="120" spans="1:14" x14ac:dyDescent="0.3">
      <c r="A120">
        <v>119</v>
      </c>
      <c r="B120" t="s">
        <v>406</v>
      </c>
      <c r="C120" t="s">
        <v>157</v>
      </c>
      <c r="D120" t="s">
        <v>157</v>
      </c>
      <c r="E120" s="201" t="s">
        <v>698</v>
      </c>
      <c r="F120" s="201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66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</v>
      </c>
    </row>
    <row r="121" spans="1:14" x14ac:dyDescent="0.3">
      <c r="A121">
        <v>120</v>
      </c>
      <c r="B121" t="s">
        <v>406</v>
      </c>
      <c r="C121" t="s">
        <v>157</v>
      </c>
      <c r="D121" t="s">
        <v>158</v>
      </c>
      <c r="E121" s="201" t="s">
        <v>699</v>
      </c>
      <c r="F121" s="201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66" t="s">
        <v>419</v>
      </c>
      <c r="M121" t="str">
        <f t="shared" si="6"/>
        <v xml:space="preserve">ΔΥΤΙΚΗΣ ΜΑΚΕΔΟΝΙΑΣ - ΔΕΣΚΑΤΗΣ, </v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</v>
      </c>
    </row>
    <row r="122" spans="1:14" x14ac:dyDescent="0.3">
      <c r="A122">
        <v>121</v>
      </c>
      <c r="B122" t="s">
        <v>406</v>
      </c>
      <c r="C122" t="s">
        <v>164</v>
      </c>
      <c r="D122" t="s">
        <v>163</v>
      </c>
      <c r="E122" s="201" t="s">
        <v>700</v>
      </c>
      <c r="F122" s="201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66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</v>
      </c>
    </row>
    <row r="123" spans="1:14" x14ac:dyDescent="0.3">
      <c r="A123">
        <v>122</v>
      </c>
      <c r="B123" t="s">
        <v>406</v>
      </c>
      <c r="C123" t="s">
        <v>159</v>
      </c>
      <c r="D123" t="s">
        <v>159</v>
      </c>
      <c r="E123" s="201" t="s">
        <v>701</v>
      </c>
      <c r="F123" s="201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66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</v>
      </c>
    </row>
    <row r="124" spans="1:14" x14ac:dyDescent="0.3">
      <c r="A124">
        <v>123</v>
      </c>
      <c r="B124" t="s">
        <v>406</v>
      </c>
      <c r="C124" t="s">
        <v>164</v>
      </c>
      <c r="D124" t="s">
        <v>164</v>
      </c>
      <c r="E124" s="201" t="s">
        <v>702</v>
      </c>
      <c r="F124" s="201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66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</v>
      </c>
    </row>
    <row r="125" spans="1:14" x14ac:dyDescent="0.3">
      <c r="A125">
        <v>124</v>
      </c>
      <c r="B125" t="s">
        <v>406</v>
      </c>
      <c r="C125" t="s">
        <v>159</v>
      </c>
      <c r="D125" t="s">
        <v>160</v>
      </c>
      <c r="E125" s="201" t="s">
        <v>703</v>
      </c>
      <c r="F125" s="201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66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</v>
      </c>
    </row>
    <row r="126" spans="1:14" x14ac:dyDescent="0.3">
      <c r="A126">
        <v>125</v>
      </c>
      <c r="B126" t="s">
        <v>406</v>
      </c>
      <c r="C126" t="s">
        <v>159</v>
      </c>
      <c r="D126" t="s">
        <v>161</v>
      </c>
      <c r="E126" s="201" t="s">
        <v>704</v>
      </c>
      <c r="F126" s="201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66" t="s">
        <v>419</v>
      </c>
      <c r="M126" t="str">
        <f t="shared" si="6"/>
        <v xml:space="preserve">ΔΥΤΙΚΗΣ ΜΑΚΕΔΟΝΙΑΣ - ΟΡΕΣΤΙΔΟΣ, </v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</v>
      </c>
    </row>
    <row r="127" spans="1:14" x14ac:dyDescent="0.3">
      <c r="A127">
        <v>126</v>
      </c>
      <c r="B127" t="s">
        <v>406</v>
      </c>
      <c r="C127" t="s">
        <v>168</v>
      </c>
      <c r="D127" t="s">
        <v>167</v>
      </c>
      <c r="E127" s="201" t="s">
        <v>705</v>
      </c>
      <c r="F127" s="201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66" t="s">
        <v>419</v>
      </c>
      <c r="M127" t="str">
        <f t="shared" si="6"/>
        <v xml:space="preserve">ΔΥΤΙΚΗΣ ΜΑΚΕΔΟΝΙΑΣ - ΠΡΕΣΠΩΝ, </v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</v>
      </c>
    </row>
    <row r="128" spans="1:14" x14ac:dyDescent="0.3">
      <c r="A128">
        <v>127</v>
      </c>
      <c r="B128" t="s">
        <v>406</v>
      </c>
      <c r="C128" t="s">
        <v>164</v>
      </c>
      <c r="D128" t="s">
        <v>165</v>
      </c>
      <c r="E128" s="201" t="s">
        <v>706</v>
      </c>
      <c r="F128" s="201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66" t="s">
        <v>419</v>
      </c>
      <c r="M128" t="str">
        <f t="shared" si="6"/>
        <v xml:space="preserve">ΔΥΤΙΚΗΣ ΜΑΚΕΔΟΝΙΑΣ - ΣΕΡΒΙΩΝ – ΒΕΛΒΕΝΤΟΥ, </v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</v>
      </c>
    </row>
    <row r="129" spans="1:14" x14ac:dyDescent="0.3">
      <c r="A129">
        <v>128</v>
      </c>
      <c r="B129" t="s">
        <v>406</v>
      </c>
      <c r="C129" t="s">
        <v>168</v>
      </c>
      <c r="D129" t="s">
        <v>168</v>
      </c>
      <c r="E129" s="201" t="s">
        <v>707</v>
      </c>
      <c r="F129" s="201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66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</v>
      </c>
    </row>
    <row r="130" spans="1:14" x14ac:dyDescent="0.3">
      <c r="A130">
        <v>129</v>
      </c>
      <c r="B130" t="s">
        <v>407</v>
      </c>
      <c r="C130" t="s">
        <v>377</v>
      </c>
      <c r="D130" t="s">
        <v>169</v>
      </c>
      <c r="E130" s="201" t="s">
        <v>708</v>
      </c>
      <c r="F130" s="201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66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</v>
      </c>
    </row>
    <row r="131" spans="1:14" x14ac:dyDescent="0.3">
      <c r="A131">
        <v>130</v>
      </c>
      <c r="B131" t="s">
        <v>407</v>
      </c>
      <c r="C131" t="s">
        <v>379</v>
      </c>
      <c r="D131" t="s">
        <v>176</v>
      </c>
      <c r="E131" s="201" t="s">
        <v>709</v>
      </c>
      <c r="F131" s="201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66" t="s">
        <v>419</v>
      </c>
      <c r="M131" t="str">
        <f t="shared" si="12"/>
        <v xml:space="preserve">ΗΠΕΙΡΟΥ - ΒΟΡΕΙΩΝ ΤΖΟΥΜΕΡΚΩΝ, </v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</v>
      </c>
    </row>
    <row r="132" spans="1:14" x14ac:dyDescent="0.3">
      <c r="A132">
        <v>131</v>
      </c>
      <c r="B132" t="s">
        <v>407</v>
      </c>
      <c r="C132" t="s">
        <v>377</v>
      </c>
      <c r="D132" t="s">
        <v>170</v>
      </c>
      <c r="E132" s="201" t="s">
        <v>710</v>
      </c>
      <c r="F132" s="201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66" t="s">
        <v>419</v>
      </c>
      <c r="M132" t="str">
        <f t="shared" si="12"/>
        <v xml:space="preserve">ΗΠΕΙΡΟΥ - ΓΕΩΡΓΙΟΥ ΚΑΡΑΪΣΚΑΚΗ, </v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</v>
      </c>
    </row>
    <row r="133" spans="1:14" x14ac:dyDescent="0.3">
      <c r="A133">
        <v>132</v>
      </c>
      <c r="B133" t="s">
        <v>407</v>
      </c>
      <c r="C133" t="s">
        <v>379</v>
      </c>
      <c r="D133" t="s">
        <v>177</v>
      </c>
      <c r="E133" s="201" t="s">
        <v>711</v>
      </c>
      <c r="F133" s="201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66" t="s">
        <v>419</v>
      </c>
      <c r="M133" t="str">
        <f t="shared" si="12"/>
        <v xml:space="preserve">ΗΠΕΙΡΟΥ - ΔΩΔΩΝΗΣ, </v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</v>
      </c>
    </row>
    <row r="134" spans="1:14" x14ac:dyDescent="0.3">
      <c r="A134">
        <v>133</v>
      </c>
      <c r="B134" t="s">
        <v>407</v>
      </c>
      <c r="C134" t="s">
        <v>379</v>
      </c>
      <c r="D134" t="s">
        <v>178</v>
      </c>
      <c r="E134" s="201" t="s">
        <v>712</v>
      </c>
      <c r="F134" s="201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66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</v>
      </c>
    </row>
    <row r="135" spans="1:14" x14ac:dyDescent="0.3">
      <c r="A135">
        <v>134</v>
      </c>
      <c r="B135" t="s">
        <v>407</v>
      </c>
      <c r="C135" t="s">
        <v>186</v>
      </c>
      <c r="D135" t="s">
        <v>184</v>
      </c>
      <c r="E135" s="201" t="s">
        <v>713</v>
      </c>
      <c r="F135" s="201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66" t="s">
        <v>419</v>
      </c>
      <c r="M135" t="str">
        <f t="shared" si="12"/>
        <v xml:space="preserve">ΗΠΕΙΡΟΥ - ΖΗΡΟΥ, </v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</v>
      </c>
    </row>
    <row r="136" spans="1:14" x14ac:dyDescent="0.3">
      <c r="A136">
        <v>135</v>
      </c>
      <c r="B136" t="s">
        <v>407</v>
      </c>
      <c r="C136" t="s">
        <v>379</v>
      </c>
      <c r="D136" t="s">
        <v>179</v>
      </c>
      <c r="E136" s="201" t="s">
        <v>714</v>
      </c>
      <c r="F136" s="201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66" t="s">
        <v>419</v>
      </c>
      <c r="M136" t="str">
        <f t="shared" si="12"/>
        <v xml:space="preserve">ΗΠΕΙΡΟΥ - ΖΙΤΣΑΣ, </v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</v>
      </c>
    </row>
    <row r="137" spans="1:14" x14ac:dyDescent="0.3">
      <c r="A137">
        <v>136</v>
      </c>
      <c r="B137" t="s">
        <v>407</v>
      </c>
      <c r="C137" t="s">
        <v>378</v>
      </c>
      <c r="D137" t="s">
        <v>173</v>
      </c>
      <c r="E137" s="201" t="s">
        <v>715</v>
      </c>
      <c r="F137" s="201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66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</v>
      </c>
    </row>
    <row r="138" spans="1:14" x14ac:dyDescent="0.3">
      <c r="A138">
        <v>137</v>
      </c>
      <c r="B138" t="s">
        <v>407</v>
      </c>
      <c r="C138" t="s">
        <v>379</v>
      </c>
      <c r="D138" t="s">
        <v>180</v>
      </c>
      <c r="E138" s="201" t="s">
        <v>716</v>
      </c>
      <c r="F138" s="201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66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</v>
      </c>
    </row>
    <row r="139" spans="1:14" x14ac:dyDescent="0.3">
      <c r="A139">
        <v>138</v>
      </c>
      <c r="B139" t="s">
        <v>407</v>
      </c>
      <c r="C139" t="s">
        <v>377</v>
      </c>
      <c r="D139" t="s">
        <v>171</v>
      </c>
      <c r="E139" s="201" t="s">
        <v>717</v>
      </c>
      <c r="F139" s="201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66" t="s">
        <v>419</v>
      </c>
      <c r="M139" t="str">
        <f t="shared" si="12"/>
        <v xml:space="preserve">ΗΠΕΙΡΟΥ - ΚΕΝΤΡΙΚΩΝ ΤΖΟΥΜΕΡΚΩΝ, </v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</v>
      </c>
    </row>
    <row r="140" spans="1:14" x14ac:dyDescent="0.3">
      <c r="A140">
        <v>139</v>
      </c>
      <c r="B140" t="s">
        <v>407</v>
      </c>
      <c r="C140" t="s">
        <v>379</v>
      </c>
      <c r="D140" t="s">
        <v>181</v>
      </c>
      <c r="E140" s="201" t="s">
        <v>718</v>
      </c>
      <c r="F140" s="201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66" t="s">
        <v>419</v>
      </c>
      <c r="M140" t="str">
        <f t="shared" si="12"/>
        <v xml:space="preserve">ΗΠΕΙΡΟΥ - ΚΟΝΙΤΣΑΣ, </v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</v>
      </c>
    </row>
    <row r="141" spans="1:14" x14ac:dyDescent="0.3">
      <c r="A141">
        <v>140</v>
      </c>
      <c r="B141" t="s">
        <v>407</v>
      </c>
      <c r="C141" t="s">
        <v>379</v>
      </c>
      <c r="D141" t="s">
        <v>182</v>
      </c>
      <c r="E141" s="201" t="s">
        <v>719</v>
      </c>
      <c r="F141" s="201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66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</v>
      </c>
    </row>
    <row r="142" spans="1:14" x14ac:dyDescent="0.3">
      <c r="A142">
        <v>141</v>
      </c>
      <c r="B142" t="s">
        <v>407</v>
      </c>
      <c r="C142" t="s">
        <v>377</v>
      </c>
      <c r="D142" t="s">
        <v>172</v>
      </c>
      <c r="E142" s="201" t="s">
        <v>720</v>
      </c>
      <c r="F142" s="201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66" t="s">
        <v>419</v>
      </c>
      <c r="M142" t="str">
        <f t="shared" si="12"/>
        <v xml:space="preserve">ΗΠΕΙΡΟΥ - ΝΙΚΟΛΑΟΥ ΣΚΟΥΦΑ, </v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</v>
      </c>
    </row>
    <row r="143" spans="1:14" x14ac:dyDescent="0.3">
      <c r="A143">
        <v>142</v>
      </c>
      <c r="B143" t="s">
        <v>407</v>
      </c>
      <c r="C143" t="s">
        <v>186</v>
      </c>
      <c r="D143" t="s">
        <v>185</v>
      </c>
      <c r="E143" s="201" t="s">
        <v>721</v>
      </c>
      <c r="F143" s="201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66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</v>
      </c>
    </row>
    <row r="144" spans="1:14" x14ac:dyDescent="0.3">
      <c r="A144">
        <v>143</v>
      </c>
      <c r="B144" t="s">
        <v>407</v>
      </c>
      <c r="C144" t="s">
        <v>186</v>
      </c>
      <c r="D144" t="s">
        <v>186</v>
      </c>
      <c r="E144" s="201" t="s">
        <v>722</v>
      </c>
      <c r="F144" s="201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66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</v>
      </c>
    </row>
    <row r="145" spans="1:14" x14ac:dyDescent="0.3">
      <c r="A145">
        <v>144</v>
      </c>
      <c r="B145" t="s">
        <v>407</v>
      </c>
      <c r="C145" t="s">
        <v>379</v>
      </c>
      <c r="D145" t="s">
        <v>183</v>
      </c>
      <c r="E145" s="201" t="s">
        <v>723</v>
      </c>
      <c r="F145" s="201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66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</v>
      </c>
    </row>
    <row r="146" spans="1:14" x14ac:dyDescent="0.3">
      <c r="A146">
        <v>145</v>
      </c>
      <c r="B146" t="s">
        <v>407</v>
      </c>
      <c r="C146" t="s">
        <v>378</v>
      </c>
      <c r="D146" t="s">
        <v>174</v>
      </c>
      <c r="E146" s="201" t="s">
        <v>724</v>
      </c>
      <c r="F146" s="201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66" t="s">
        <v>419</v>
      </c>
      <c r="M146" t="str">
        <f t="shared" si="12"/>
        <v xml:space="preserve">ΗΠΕΙΡΟΥ - ΣΟΥΛΙΟΥ, </v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</v>
      </c>
    </row>
    <row r="147" spans="1:14" x14ac:dyDescent="0.3">
      <c r="A147">
        <v>146</v>
      </c>
      <c r="B147" t="s">
        <v>407</v>
      </c>
      <c r="C147" t="s">
        <v>378</v>
      </c>
      <c r="D147" t="s">
        <v>175</v>
      </c>
      <c r="E147" s="201" t="s">
        <v>725</v>
      </c>
      <c r="F147" s="201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66" t="s">
        <v>419</v>
      </c>
      <c r="M147" t="str">
        <f t="shared" si="12"/>
        <v xml:space="preserve">ΗΠΕΙΡΟΥ - ΦΙΛΙΑΤΩΝ, </v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</v>
      </c>
    </row>
    <row r="148" spans="1:14" x14ac:dyDescent="0.3">
      <c r="A148">
        <v>147</v>
      </c>
      <c r="B148" t="s">
        <v>408</v>
      </c>
      <c r="C148" t="s">
        <v>380</v>
      </c>
      <c r="D148" t="s">
        <v>193</v>
      </c>
      <c r="E148" s="201" t="s">
        <v>726</v>
      </c>
      <c r="F148" s="201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66" t="s">
        <v>419</v>
      </c>
      <c r="M148" t="str">
        <f t="shared" si="12"/>
        <v xml:space="preserve">ΘΕΣΣΑΛΙΑΣ - ΑΓΙΑΣ, </v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</v>
      </c>
    </row>
    <row r="149" spans="1:14" x14ac:dyDescent="0.3">
      <c r="A149">
        <v>148</v>
      </c>
      <c r="B149" t="s">
        <v>408</v>
      </c>
      <c r="C149" t="s">
        <v>381</v>
      </c>
      <c r="D149" t="s">
        <v>200</v>
      </c>
      <c r="E149" s="201" t="s">
        <v>727</v>
      </c>
      <c r="F149" s="201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66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</v>
      </c>
    </row>
    <row r="150" spans="1:14" x14ac:dyDescent="0.3">
      <c r="A150">
        <v>149</v>
      </c>
      <c r="B150" t="s">
        <v>408</v>
      </c>
      <c r="C150" t="s">
        <v>382</v>
      </c>
      <c r="D150" t="s">
        <v>205</v>
      </c>
      <c r="E150" s="201" t="s">
        <v>728</v>
      </c>
      <c r="F150" s="201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66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</v>
      </c>
    </row>
    <row r="151" spans="1:14" x14ac:dyDescent="0.3">
      <c r="A151">
        <v>150</v>
      </c>
      <c r="B151" t="s">
        <v>408</v>
      </c>
      <c r="C151" t="s">
        <v>188</v>
      </c>
      <c r="D151" t="s">
        <v>187</v>
      </c>
      <c r="E151" s="201" t="s">
        <v>729</v>
      </c>
      <c r="F151" s="201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66" t="s">
        <v>419</v>
      </c>
      <c r="M151" t="str">
        <f t="shared" si="12"/>
        <v xml:space="preserve">ΘΕΣΣΑΛΙΑΣ - ΑΡΓΙΘΕΑΣ, </v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</v>
      </c>
    </row>
    <row r="152" spans="1:14" x14ac:dyDescent="0.3">
      <c r="A152">
        <v>151</v>
      </c>
      <c r="B152" t="s">
        <v>408</v>
      </c>
      <c r="C152" t="s">
        <v>381</v>
      </c>
      <c r="D152" t="s">
        <v>201</v>
      </c>
      <c r="E152" s="201" t="s">
        <v>730</v>
      </c>
      <c r="F152" s="201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66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</v>
      </c>
    </row>
    <row r="153" spans="1:14" x14ac:dyDescent="0.3">
      <c r="A153">
        <v>152</v>
      </c>
      <c r="B153" t="s">
        <v>408</v>
      </c>
      <c r="C153" t="s">
        <v>380</v>
      </c>
      <c r="D153" t="s">
        <v>194</v>
      </c>
      <c r="E153" s="201" t="s">
        <v>731</v>
      </c>
      <c r="F153" s="201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66" t="s">
        <v>419</v>
      </c>
      <c r="M153" t="str">
        <f t="shared" si="12"/>
        <v xml:space="preserve">ΘΕΣΣΑΛΙΑΣ - ΕΛΑΣΣΟΝΑΣ, </v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</v>
      </c>
    </row>
    <row r="154" spans="1:14" x14ac:dyDescent="0.3">
      <c r="A154">
        <v>153</v>
      </c>
      <c r="B154" t="s">
        <v>408</v>
      </c>
      <c r="C154" t="s">
        <v>381</v>
      </c>
      <c r="D154" t="s">
        <v>202</v>
      </c>
      <c r="E154" s="201" t="s">
        <v>732</v>
      </c>
      <c r="F154" s="201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66" t="s">
        <v>419</v>
      </c>
      <c r="M154" t="str">
        <f t="shared" si="12"/>
        <v xml:space="preserve">ΘΕΣΣΑΛΙΑΣ - ΖΑΓΟΡΑΣ – ΜΟΥΡΕΣΙΟΥ, </v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</v>
      </c>
    </row>
    <row r="155" spans="1:14" x14ac:dyDescent="0.3">
      <c r="A155">
        <v>154</v>
      </c>
      <c r="B155" t="s">
        <v>408</v>
      </c>
      <c r="C155" t="s">
        <v>383</v>
      </c>
      <c r="D155" t="s">
        <v>208</v>
      </c>
      <c r="E155" s="201" t="s">
        <v>733</v>
      </c>
      <c r="F155" s="201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66" t="s">
        <v>419</v>
      </c>
      <c r="M155" t="str">
        <f t="shared" si="12"/>
        <v xml:space="preserve">ΘΕΣΣΑΛΙΑΣ - ΚΑΛΑΜΠΑΚΑΣ, </v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</v>
      </c>
    </row>
    <row r="156" spans="1:14" x14ac:dyDescent="0.3">
      <c r="A156">
        <v>155</v>
      </c>
      <c r="B156" t="s">
        <v>408</v>
      </c>
      <c r="C156" t="s">
        <v>188</v>
      </c>
      <c r="D156" t="s">
        <v>188</v>
      </c>
      <c r="E156" s="201" t="s">
        <v>734</v>
      </c>
      <c r="F156" s="201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66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</v>
      </c>
    </row>
    <row r="157" spans="1:14" x14ac:dyDescent="0.3">
      <c r="A157">
        <v>156</v>
      </c>
      <c r="B157" t="s">
        <v>408</v>
      </c>
      <c r="C157" t="s">
        <v>380</v>
      </c>
      <c r="D157" t="s">
        <v>195</v>
      </c>
      <c r="E157" s="201" t="s">
        <v>735</v>
      </c>
      <c r="F157" s="201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66" t="s">
        <v>419</v>
      </c>
      <c r="M157" t="str">
        <f t="shared" si="12"/>
        <v xml:space="preserve">ΘΕΣΣΑΛΙΑΣ - ΚΙΛΕΛΕΡ, </v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</v>
      </c>
    </row>
    <row r="158" spans="1:14" x14ac:dyDescent="0.3">
      <c r="A158">
        <v>157</v>
      </c>
      <c r="B158" t="s">
        <v>408</v>
      </c>
      <c r="C158" t="s">
        <v>380</v>
      </c>
      <c r="D158" t="s">
        <v>196</v>
      </c>
      <c r="E158" s="201" t="s">
        <v>736</v>
      </c>
      <c r="F158" s="201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66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</v>
      </c>
    </row>
    <row r="159" spans="1:14" x14ac:dyDescent="0.3">
      <c r="A159">
        <v>158</v>
      </c>
      <c r="B159" t="s">
        <v>408</v>
      </c>
      <c r="C159" t="s">
        <v>188</v>
      </c>
      <c r="D159" t="s">
        <v>189</v>
      </c>
      <c r="E159" s="201" t="s">
        <v>737</v>
      </c>
      <c r="F159" s="201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66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</v>
      </c>
    </row>
    <row r="160" spans="1:14" x14ac:dyDescent="0.3">
      <c r="A160">
        <v>159</v>
      </c>
      <c r="B160" t="s">
        <v>408</v>
      </c>
      <c r="C160" t="s">
        <v>188</v>
      </c>
      <c r="D160" t="s">
        <v>190</v>
      </c>
      <c r="E160" s="201" t="s">
        <v>738</v>
      </c>
      <c r="F160" s="201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66" t="s">
        <v>419</v>
      </c>
      <c r="M160" t="str">
        <f t="shared" si="12"/>
        <v xml:space="preserve">ΘΕΣΣΑΛΙΑΣ - ΜΟΥΖΑΚΙΟΥ, </v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</v>
      </c>
    </row>
    <row r="161" spans="1:14" x14ac:dyDescent="0.3">
      <c r="A161">
        <v>160</v>
      </c>
      <c r="B161" t="s">
        <v>408</v>
      </c>
      <c r="C161" t="s">
        <v>381</v>
      </c>
      <c r="D161" t="s">
        <v>203</v>
      </c>
      <c r="E161" s="201" t="s">
        <v>739</v>
      </c>
      <c r="F161" s="201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66" t="s">
        <v>419</v>
      </c>
      <c r="M161" t="str">
        <f t="shared" si="12"/>
        <v xml:space="preserve">ΘΕΣΣΑΛΙΑΣ - ΝΟΤΙΟΥ ΠΗΛΙΟΥ, </v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</v>
      </c>
    </row>
    <row r="162" spans="1:14" x14ac:dyDescent="0.3">
      <c r="A162">
        <v>161</v>
      </c>
      <c r="B162" t="s">
        <v>408</v>
      </c>
      <c r="C162" t="s">
        <v>188</v>
      </c>
      <c r="D162" t="s">
        <v>191</v>
      </c>
      <c r="E162" s="201" t="s">
        <v>740</v>
      </c>
      <c r="F162" s="201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66" t="s">
        <v>419</v>
      </c>
      <c r="M162" t="str">
        <f t="shared" si="12"/>
        <v xml:space="preserve">ΘΕΣΣΑΛΙΑΣ - ΠΑΛΑΜΑ, </v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</v>
      </c>
    </row>
    <row r="163" spans="1:14" x14ac:dyDescent="0.3">
      <c r="A163">
        <v>162</v>
      </c>
      <c r="B163" t="s">
        <v>408</v>
      </c>
      <c r="C163" t="s">
        <v>383</v>
      </c>
      <c r="D163" t="s">
        <v>209</v>
      </c>
      <c r="E163" s="201" t="s">
        <v>741</v>
      </c>
      <c r="F163" s="201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66" t="s">
        <v>419</v>
      </c>
      <c r="M163" t="str">
        <f t="shared" si="12"/>
        <v xml:space="preserve">ΘΕΣΣΑΛΙΑΣ - ΠΥΛΗΣ, </v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</v>
      </c>
    </row>
    <row r="164" spans="1:14" x14ac:dyDescent="0.3">
      <c r="A164">
        <v>163</v>
      </c>
      <c r="B164" t="s">
        <v>408</v>
      </c>
      <c r="C164" t="s">
        <v>381</v>
      </c>
      <c r="D164" t="s">
        <v>204</v>
      </c>
      <c r="E164" s="201" t="s">
        <v>742</v>
      </c>
      <c r="F164" s="201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66" t="s">
        <v>419</v>
      </c>
      <c r="M164" t="str">
        <f t="shared" si="12"/>
        <v xml:space="preserve">ΘΕΣΣΑΛΙΑΣ - ΡΗΓΑ ΦΕΡΑΙΟΥ, </v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</v>
      </c>
    </row>
    <row r="165" spans="1:14" x14ac:dyDescent="0.3">
      <c r="A165">
        <v>164</v>
      </c>
      <c r="B165" t="s">
        <v>408</v>
      </c>
      <c r="C165" t="s">
        <v>382</v>
      </c>
      <c r="D165" t="s">
        <v>206</v>
      </c>
      <c r="E165" s="201" t="s">
        <v>743</v>
      </c>
      <c r="F165" s="201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66" t="s">
        <v>419</v>
      </c>
      <c r="M165" t="str">
        <f t="shared" si="12"/>
        <v xml:space="preserve">ΘΕΣΣΑΛΙΑΣ - ΣΚΙΑΘΟΥ, </v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</v>
      </c>
    </row>
    <row r="166" spans="1:14" x14ac:dyDescent="0.3">
      <c r="A166">
        <v>165</v>
      </c>
      <c r="B166" t="s">
        <v>408</v>
      </c>
      <c r="C166" t="s">
        <v>382</v>
      </c>
      <c r="D166" t="s">
        <v>207</v>
      </c>
      <c r="E166" s="201" t="s">
        <v>744</v>
      </c>
      <c r="F166" s="201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66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</v>
      </c>
    </row>
    <row r="167" spans="1:14" x14ac:dyDescent="0.3">
      <c r="A167">
        <v>166</v>
      </c>
      <c r="B167" t="s">
        <v>408</v>
      </c>
      <c r="C167" t="s">
        <v>188</v>
      </c>
      <c r="D167" t="s">
        <v>192</v>
      </c>
      <c r="E167" s="201" t="s">
        <v>745</v>
      </c>
      <c r="F167" s="201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66" t="s">
        <v>419</v>
      </c>
      <c r="M167" t="str">
        <f t="shared" si="12"/>
        <v xml:space="preserve">ΘΕΣΣΑΛΙΑΣ - ΣΟΦΑΔΩΝ, </v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</v>
      </c>
    </row>
    <row r="168" spans="1:14" x14ac:dyDescent="0.3">
      <c r="A168">
        <v>167</v>
      </c>
      <c r="B168" t="s">
        <v>408</v>
      </c>
      <c r="C168" t="s">
        <v>380</v>
      </c>
      <c r="D168" t="s">
        <v>197</v>
      </c>
      <c r="E168" s="201" t="s">
        <v>746</v>
      </c>
      <c r="F168" s="201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66" t="s">
        <v>419</v>
      </c>
      <c r="M168" t="str">
        <f t="shared" si="12"/>
        <v xml:space="preserve">ΘΕΣΣΑΛΙΑΣ - ΤΕΜΠΩΝ, </v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</v>
      </c>
    </row>
    <row r="169" spans="1:14" x14ac:dyDescent="0.3">
      <c r="A169">
        <v>168</v>
      </c>
      <c r="B169" t="s">
        <v>408</v>
      </c>
      <c r="C169" t="s">
        <v>383</v>
      </c>
      <c r="D169" t="s">
        <v>210</v>
      </c>
      <c r="E169" s="201" t="s">
        <v>747</v>
      </c>
      <c r="F169" s="201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66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</v>
      </c>
    </row>
    <row r="170" spans="1:14" x14ac:dyDescent="0.3">
      <c r="A170">
        <v>169</v>
      </c>
      <c r="B170" t="s">
        <v>408</v>
      </c>
      <c r="C170" t="s">
        <v>380</v>
      </c>
      <c r="D170" t="s">
        <v>198</v>
      </c>
      <c r="E170" s="201" t="s">
        <v>748</v>
      </c>
      <c r="F170" s="201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66" t="s">
        <v>419</v>
      </c>
      <c r="M170" t="str">
        <f t="shared" si="12"/>
        <v xml:space="preserve">ΘΕΣΣΑΛΙΑΣ - ΤΥΡΝΑΒΟΥ, </v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</v>
      </c>
    </row>
    <row r="171" spans="1:14" x14ac:dyDescent="0.3">
      <c r="A171">
        <v>170</v>
      </c>
      <c r="B171" t="s">
        <v>408</v>
      </c>
      <c r="C171" t="s">
        <v>383</v>
      </c>
      <c r="D171" t="s">
        <v>211</v>
      </c>
      <c r="E171" s="201" t="s">
        <v>749</v>
      </c>
      <c r="F171" s="201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66" t="s">
        <v>419</v>
      </c>
      <c r="M171" t="str">
        <f t="shared" si="12"/>
        <v xml:space="preserve">ΘΕΣΣΑΛΙΑΣ - ΦΑΡΚΑΔΟΝΑΣ, </v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</v>
      </c>
    </row>
    <row r="172" spans="1:14" x14ac:dyDescent="0.3">
      <c r="A172">
        <v>171</v>
      </c>
      <c r="B172" t="s">
        <v>408</v>
      </c>
      <c r="C172" t="s">
        <v>380</v>
      </c>
      <c r="D172" t="s">
        <v>199</v>
      </c>
      <c r="E172" s="201" t="s">
        <v>750</v>
      </c>
      <c r="F172" s="201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66" t="s">
        <v>419</v>
      </c>
      <c r="M172" t="str">
        <f t="shared" si="12"/>
        <v xml:space="preserve">ΘΕΣΣΑΛΙΑΣ - ΦΑΡΣΑΛΩΝ, </v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</v>
      </c>
    </row>
    <row r="173" spans="1:14" x14ac:dyDescent="0.3">
      <c r="A173">
        <v>172</v>
      </c>
      <c r="B173" t="s">
        <v>409</v>
      </c>
      <c r="C173" t="s">
        <v>212</v>
      </c>
      <c r="D173" t="s">
        <v>212</v>
      </c>
      <c r="E173" s="201" t="s">
        <v>751</v>
      </c>
      <c r="F173" s="201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66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4" spans="1:14" x14ac:dyDescent="0.3">
      <c r="A174">
        <v>173</v>
      </c>
      <c r="B174" t="s">
        <v>409</v>
      </c>
      <c r="C174" t="s">
        <v>213</v>
      </c>
      <c r="D174" t="s">
        <v>213</v>
      </c>
      <c r="E174" s="201" t="s">
        <v>752</v>
      </c>
      <c r="F174" s="201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66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</v>
      </c>
    </row>
    <row r="175" spans="1:14" x14ac:dyDescent="0.3">
      <c r="A175">
        <v>174</v>
      </c>
      <c r="B175" t="s">
        <v>409</v>
      </c>
      <c r="C175" t="s">
        <v>214</v>
      </c>
      <c r="D175" t="s">
        <v>214</v>
      </c>
      <c r="E175" s="201" t="s">
        <v>753</v>
      </c>
      <c r="F175" s="201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66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</v>
      </c>
    </row>
    <row r="176" spans="1:14" x14ac:dyDescent="0.3">
      <c r="A176">
        <v>175</v>
      </c>
      <c r="B176" t="s">
        <v>409</v>
      </c>
      <c r="C176" t="s">
        <v>384</v>
      </c>
      <c r="D176" t="s">
        <v>216</v>
      </c>
      <c r="E176" s="201" t="s">
        <v>754</v>
      </c>
      <c r="F176" s="201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66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</v>
      </c>
    </row>
    <row r="177" spans="1:14" x14ac:dyDescent="0.3">
      <c r="A177">
        <v>176</v>
      </c>
      <c r="B177" t="s">
        <v>409</v>
      </c>
      <c r="C177" t="s">
        <v>217</v>
      </c>
      <c r="D177" t="s">
        <v>217</v>
      </c>
      <c r="E177" s="201" t="s">
        <v>755</v>
      </c>
      <c r="F177" s="201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66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8" spans="1:14" x14ac:dyDescent="0.3">
      <c r="A178">
        <v>177</v>
      </c>
      <c r="B178" t="s">
        <v>409</v>
      </c>
      <c r="C178" t="s">
        <v>217</v>
      </c>
      <c r="D178" t="s">
        <v>218</v>
      </c>
      <c r="E178" s="201" t="s">
        <v>756</v>
      </c>
      <c r="F178" s="201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66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79" spans="1:14" x14ac:dyDescent="0.3">
      <c r="A179">
        <v>178</v>
      </c>
      <c r="B179" t="s">
        <v>409</v>
      </c>
      <c r="C179" t="s">
        <v>214</v>
      </c>
      <c r="D179" t="s">
        <v>215</v>
      </c>
      <c r="E179" s="201" t="s">
        <v>757</v>
      </c>
      <c r="F179" s="201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66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</v>
      </c>
    </row>
    <row r="180" spans="1:14" x14ac:dyDescent="0.3">
      <c r="A180">
        <v>179</v>
      </c>
      <c r="B180" t="s">
        <v>410</v>
      </c>
      <c r="C180" t="s">
        <v>385</v>
      </c>
      <c r="D180" t="s">
        <v>219</v>
      </c>
      <c r="E180" s="201" t="s">
        <v>758</v>
      </c>
      <c r="F180" s="201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66" t="s">
        <v>419</v>
      </c>
      <c r="M180" t="str">
        <f t="shared" si="12"/>
        <v xml:space="preserve">ΚΕΝΤΡΙΚΗΣ ΜΑΚΕΔΟΝΙΑΣ - ΑΛΕΞΑΝΔΡΕΙΑΣ, </v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</v>
      </c>
    </row>
    <row r="181" spans="1:14" x14ac:dyDescent="0.3">
      <c r="A181">
        <v>180</v>
      </c>
      <c r="B181" t="s">
        <v>410</v>
      </c>
      <c r="C181" t="s">
        <v>240</v>
      </c>
      <c r="D181" t="s">
        <v>238</v>
      </c>
      <c r="E181" s="201" t="s">
        <v>759</v>
      </c>
      <c r="F181" s="201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66" t="s">
        <v>419</v>
      </c>
      <c r="M181" t="str">
        <f t="shared" si="12"/>
        <v xml:space="preserve">ΚΕΝΤΡΙΚΗΣ ΜΑΚΕΔΟΝΙΑΣ - ΑΛΜΩΠΙΑΣ, </v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</v>
      </c>
    </row>
    <row r="182" spans="1:14" x14ac:dyDescent="0.3">
      <c r="A182">
        <v>181</v>
      </c>
      <c r="B182" t="s">
        <v>410</v>
      </c>
      <c r="C182" t="s">
        <v>227</v>
      </c>
      <c r="D182" t="s">
        <v>222</v>
      </c>
      <c r="E182" s="201" t="s">
        <v>760</v>
      </c>
      <c r="F182" s="201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66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</v>
      </c>
    </row>
    <row r="183" spans="1:14" x14ac:dyDescent="0.3">
      <c r="A183">
        <v>182</v>
      </c>
      <c r="B183" t="s">
        <v>410</v>
      </c>
      <c r="C183" t="s">
        <v>250</v>
      </c>
      <c r="D183" t="s">
        <v>245</v>
      </c>
      <c r="E183" s="201" t="s">
        <v>761</v>
      </c>
      <c r="F183" s="201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66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</v>
      </c>
    </row>
    <row r="184" spans="1:14" x14ac:dyDescent="0.3">
      <c r="A184">
        <v>183</v>
      </c>
      <c r="B184" t="s">
        <v>410</v>
      </c>
      <c r="C184" t="s">
        <v>387</v>
      </c>
      <c r="D184" t="s">
        <v>252</v>
      </c>
      <c r="E184" s="201" t="s">
        <v>762</v>
      </c>
      <c r="F184" s="201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66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3">
      <c r="A185">
        <v>184</v>
      </c>
      <c r="B185" t="s">
        <v>410</v>
      </c>
      <c r="C185" t="s">
        <v>385</v>
      </c>
      <c r="D185" t="s">
        <v>220</v>
      </c>
      <c r="E185" s="201" t="s">
        <v>763</v>
      </c>
      <c r="F185" s="201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66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3">
      <c r="A186">
        <v>185</v>
      </c>
      <c r="B186" t="s">
        <v>410</v>
      </c>
      <c r="C186" t="s">
        <v>250</v>
      </c>
      <c r="D186" t="s">
        <v>246</v>
      </c>
      <c r="E186" s="201" t="s">
        <v>764</v>
      </c>
      <c r="F186" s="201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66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3">
      <c r="A187">
        <v>186</v>
      </c>
      <c r="B187" t="s">
        <v>410</v>
      </c>
      <c r="C187" t="s">
        <v>227</v>
      </c>
      <c r="D187" t="s">
        <v>223</v>
      </c>
      <c r="E187" s="201" t="s">
        <v>765</v>
      </c>
      <c r="F187" s="201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66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3">
      <c r="A188">
        <v>187</v>
      </c>
      <c r="B188" t="s">
        <v>410</v>
      </c>
      <c r="C188" t="s">
        <v>227</v>
      </c>
      <c r="D188" t="s">
        <v>224</v>
      </c>
      <c r="E188" s="201" t="s">
        <v>766</v>
      </c>
      <c r="F188" s="201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66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3">
      <c r="A189">
        <v>188</v>
      </c>
      <c r="B189" t="s">
        <v>410</v>
      </c>
      <c r="C189" t="s">
        <v>386</v>
      </c>
      <c r="D189" t="s">
        <v>242</v>
      </c>
      <c r="E189" s="201" t="s">
        <v>767</v>
      </c>
      <c r="F189" s="201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66" t="s">
        <v>419</v>
      </c>
      <c r="M189" t="str">
        <f t="shared" si="12"/>
        <v xml:space="preserve">ΚΕΝΤΡΙΚΗΣ ΜΑΚΕΔΟΝΙΑΣ - ΔΙΟΥ – ΟΛΥΜΠΟΥ, </v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</v>
      </c>
    </row>
    <row r="190" spans="1:14" x14ac:dyDescent="0.3">
      <c r="A190">
        <v>189</v>
      </c>
      <c r="B190" t="s">
        <v>410</v>
      </c>
      <c r="C190" t="s">
        <v>240</v>
      </c>
      <c r="D190" t="s">
        <v>239</v>
      </c>
      <c r="E190" s="201" t="s">
        <v>768</v>
      </c>
      <c r="F190" s="201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66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</v>
      </c>
    </row>
    <row r="191" spans="1:14" x14ac:dyDescent="0.3">
      <c r="A191">
        <v>190</v>
      </c>
      <c r="B191" t="s">
        <v>410</v>
      </c>
      <c r="C191" t="s">
        <v>250</v>
      </c>
      <c r="D191" t="s">
        <v>247</v>
      </c>
      <c r="E191" s="201" t="s">
        <v>769</v>
      </c>
      <c r="F191" s="201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66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</v>
      </c>
    </row>
    <row r="192" spans="1:14" x14ac:dyDescent="0.3">
      <c r="A192">
        <v>191</v>
      </c>
      <c r="B192" t="s">
        <v>410</v>
      </c>
      <c r="C192" t="s">
        <v>250</v>
      </c>
      <c r="D192" t="s">
        <v>248</v>
      </c>
      <c r="E192" s="201" t="s">
        <v>770</v>
      </c>
      <c r="F192" s="201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66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</v>
      </c>
    </row>
    <row r="193" spans="1:14" x14ac:dyDescent="0.3">
      <c r="A193">
        <v>192</v>
      </c>
      <c r="B193" t="s">
        <v>410</v>
      </c>
      <c r="C193" t="s">
        <v>227</v>
      </c>
      <c r="D193" t="s">
        <v>225</v>
      </c>
      <c r="E193" s="201" t="s">
        <v>771</v>
      </c>
      <c r="F193" s="201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66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3">
      <c r="A194">
        <v>193</v>
      </c>
      <c r="B194" t="s">
        <v>410</v>
      </c>
      <c r="C194" t="s">
        <v>227</v>
      </c>
      <c r="D194" t="s">
        <v>226</v>
      </c>
      <c r="E194" s="201" t="s">
        <v>772</v>
      </c>
      <c r="F194" s="201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66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3">
      <c r="A195">
        <v>194</v>
      </c>
      <c r="B195" t="s">
        <v>410</v>
      </c>
      <c r="C195" t="s">
        <v>227</v>
      </c>
      <c r="D195" t="s">
        <v>227</v>
      </c>
      <c r="E195" s="201" t="s">
        <v>773</v>
      </c>
      <c r="F195" s="201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66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3">
      <c r="A196">
        <v>195</v>
      </c>
      <c r="B196" t="s">
        <v>410</v>
      </c>
      <c r="C196" t="s">
        <v>227</v>
      </c>
      <c r="D196" t="s">
        <v>228</v>
      </c>
      <c r="E196" s="201" t="s">
        <v>774</v>
      </c>
      <c r="F196" s="201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66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3">
      <c r="A197">
        <v>196</v>
      </c>
      <c r="B197" t="s">
        <v>410</v>
      </c>
      <c r="C197" t="s">
        <v>387</v>
      </c>
      <c r="D197" t="s">
        <v>253</v>
      </c>
      <c r="E197" s="201" t="s">
        <v>775</v>
      </c>
      <c r="F197" s="201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66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3">
      <c r="A198">
        <v>197</v>
      </c>
      <c r="B198" t="s">
        <v>410</v>
      </c>
      <c r="C198" t="s">
        <v>386</v>
      </c>
      <c r="D198" t="s">
        <v>243</v>
      </c>
      <c r="E198" s="201" t="s">
        <v>776</v>
      </c>
      <c r="F198" s="201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66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3">
      <c r="A199">
        <v>198</v>
      </c>
      <c r="B199" t="s">
        <v>410</v>
      </c>
      <c r="C199" t="s">
        <v>236</v>
      </c>
      <c r="D199" t="s">
        <v>236</v>
      </c>
      <c r="E199" s="201" t="s">
        <v>777</v>
      </c>
      <c r="F199" s="201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66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3">
      <c r="A200">
        <v>199</v>
      </c>
      <c r="B200" t="s">
        <v>410</v>
      </c>
      <c r="C200" t="s">
        <v>227</v>
      </c>
      <c r="D200" t="s">
        <v>229</v>
      </c>
      <c r="E200" s="201" t="s">
        <v>778</v>
      </c>
      <c r="F200" s="201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66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3">
      <c r="A201">
        <v>200</v>
      </c>
      <c r="B201" t="s">
        <v>410</v>
      </c>
      <c r="C201" t="s">
        <v>227</v>
      </c>
      <c r="D201" t="s">
        <v>230</v>
      </c>
      <c r="E201" s="201" t="s">
        <v>779</v>
      </c>
      <c r="F201" s="201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66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3">
      <c r="A202">
        <v>201</v>
      </c>
      <c r="B202" t="s">
        <v>410</v>
      </c>
      <c r="C202" t="s">
        <v>385</v>
      </c>
      <c r="D202" t="s">
        <v>221</v>
      </c>
      <c r="E202" s="201" t="s">
        <v>780</v>
      </c>
      <c r="F202" s="201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66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3">
      <c r="A203">
        <v>202</v>
      </c>
      <c r="B203" t="s">
        <v>410</v>
      </c>
      <c r="C203" t="s">
        <v>227</v>
      </c>
      <c r="D203" t="s">
        <v>231</v>
      </c>
      <c r="E203" s="201" t="s">
        <v>781</v>
      </c>
      <c r="F203" s="201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66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3">
      <c r="A204">
        <v>203</v>
      </c>
      <c r="B204" t="s">
        <v>410</v>
      </c>
      <c r="C204" t="s">
        <v>250</v>
      </c>
      <c r="D204" t="s">
        <v>249</v>
      </c>
      <c r="E204" s="201" t="s">
        <v>782</v>
      </c>
      <c r="F204" s="201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66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3">
      <c r="A205">
        <v>204</v>
      </c>
      <c r="B205" t="s">
        <v>410</v>
      </c>
      <c r="C205" t="s">
        <v>387</v>
      </c>
      <c r="D205" t="s">
        <v>254</v>
      </c>
      <c r="E205" s="201" t="s">
        <v>783</v>
      </c>
      <c r="F205" s="201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66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3">
      <c r="A206">
        <v>205</v>
      </c>
      <c r="B206" t="s">
        <v>410</v>
      </c>
      <c r="C206" t="s">
        <v>236</v>
      </c>
      <c r="D206" t="s">
        <v>237</v>
      </c>
      <c r="E206" s="201" t="s">
        <v>784</v>
      </c>
      <c r="F206" s="201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66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3">
      <c r="A207">
        <v>206</v>
      </c>
      <c r="B207" t="s">
        <v>410</v>
      </c>
      <c r="C207" t="s">
        <v>227</v>
      </c>
      <c r="D207" t="s">
        <v>232</v>
      </c>
      <c r="E207" s="201" t="s">
        <v>785</v>
      </c>
      <c r="F207" s="201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66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3">
      <c r="A208">
        <v>207</v>
      </c>
      <c r="B208" t="s">
        <v>410</v>
      </c>
      <c r="C208" t="s">
        <v>240</v>
      </c>
      <c r="D208" t="s">
        <v>240</v>
      </c>
      <c r="E208" s="201" t="s">
        <v>786</v>
      </c>
      <c r="F208" s="201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66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3">
      <c r="A209">
        <v>208</v>
      </c>
      <c r="B209" t="s">
        <v>410</v>
      </c>
      <c r="C209" t="s">
        <v>387</v>
      </c>
      <c r="D209" t="s">
        <v>255</v>
      </c>
      <c r="E209" s="201" t="s">
        <v>787</v>
      </c>
      <c r="F209" s="201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66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3">
      <c r="A210">
        <v>209</v>
      </c>
      <c r="B210" t="s">
        <v>410</v>
      </c>
      <c r="C210" t="s">
        <v>386</v>
      </c>
      <c r="D210" t="s">
        <v>244</v>
      </c>
      <c r="E210" s="201" t="s">
        <v>788</v>
      </c>
      <c r="F210" s="201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66" t="s">
        <v>419</v>
      </c>
      <c r="M210" t="str">
        <f t="shared" si="18"/>
        <v xml:space="preserve">ΚΕΝΤΡΙΚΗΣ ΜΑΚΕΔΟΝΙΑΣ - ΠΥΔΝΑΣ – ΚΟΛΙΝΔΡΟΥ, </v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</v>
      </c>
    </row>
    <row r="211" spans="1:14" x14ac:dyDescent="0.3">
      <c r="A211">
        <v>210</v>
      </c>
      <c r="B211" t="s">
        <v>410</v>
      </c>
      <c r="C211" t="s">
        <v>227</v>
      </c>
      <c r="D211" t="s">
        <v>233</v>
      </c>
      <c r="E211" s="201" t="s">
        <v>789</v>
      </c>
      <c r="F211" s="201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66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</v>
      </c>
    </row>
    <row r="212" spans="1:14" x14ac:dyDescent="0.3">
      <c r="A212">
        <v>211</v>
      </c>
      <c r="B212" t="s">
        <v>410</v>
      </c>
      <c r="C212" t="s">
        <v>250</v>
      </c>
      <c r="D212" t="s">
        <v>250</v>
      </c>
      <c r="E212" s="201" t="s">
        <v>790</v>
      </c>
      <c r="F212" s="201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66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</v>
      </c>
    </row>
    <row r="213" spans="1:14" x14ac:dyDescent="0.3">
      <c r="A213">
        <v>212</v>
      </c>
      <c r="B213" t="s">
        <v>410</v>
      </c>
      <c r="C213" t="s">
        <v>387</v>
      </c>
      <c r="D213" t="s">
        <v>256</v>
      </c>
      <c r="E213" s="201" t="s">
        <v>791</v>
      </c>
      <c r="F213" s="201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66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</v>
      </c>
    </row>
    <row r="214" spans="1:14" x14ac:dyDescent="0.3">
      <c r="A214">
        <v>213</v>
      </c>
      <c r="B214" t="s">
        <v>410</v>
      </c>
      <c r="C214" t="s">
        <v>250</v>
      </c>
      <c r="D214" t="s">
        <v>251</v>
      </c>
      <c r="E214" s="201" t="s">
        <v>792</v>
      </c>
      <c r="F214" s="201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66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3">
      <c r="A215">
        <v>214</v>
      </c>
      <c r="B215" t="s">
        <v>410</v>
      </c>
      <c r="C215" t="s">
        <v>240</v>
      </c>
      <c r="D215" t="s">
        <v>241</v>
      </c>
      <c r="E215" s="201" t="s">
        <v>793</v>
      </c>
      <c r="F215" s="201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66" t="s">
        <v>419</v>
      </c>
      <c r="M215" t="str">
        <f t="shared" si="18"/>
        <v xml:space="preserve">ΚΕΝΤΡΙΚΗΣ ΜΑΚΕΔΟΝΙΑΣ - ΣΚΥΔΡΑΣ, </v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</v>
      </c>
    </row>
    <row r="216" spans="1:14" x14ac:dyDescent="0.3">
      <c r="A216">
        <v>215</v>
      </c>
      <c r="B216" t="s">
        <v>410</v>
      </c>
      <c r="C216" t="s">
        <v>227</v>
      </c>
      <c r="D216" t="s">
        <v>234</v>
      </c>
      <c r="E216" s="201" t="s">
        <v>794</v>
      </c>
      <c r="F216" s="201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66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</v>
      </c>
    </row>
    <row r="217" spans="1:14" x14ac:dyDescent="0.3">
      <c r="A217">
        <v>216</v>
      </c>
      <c r="B217" t="s">
        <v>410</v>
      </c>
      <c r="C217" t="s">
        <v>227</v>
      </c>
      <c r="D217" t="s">
        <v>235</v>
      </c>
      <c r="E217" s="201" t="s">
        <v>795</v>
      </c>
      <c r="F217" s="201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66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</v>
      </c>
    </row>
    <row r="218" spans="1:14" x14ac:dyDescent="0.3">
      <c r="A218">
        <v>217</v>
      </c>
      <c r="B218" t="s">
        <v>411</v>
      </c>
      <c r="C218" t="s">
        <v>389</v>
      </c>
      <c r="D218" t="s">
        <v>268</v>
      </c>
      <c r="E218" s="201" t="s">
        <v>796</v>
      </c>
      <c r="F218" s="201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66" t="s">
        <v>419</v>
      </c>
      <c r="M218" t="str">
        <f t="shared" si="18"/>
        <v xml:space="preserve">ΚΡΗΤΗΣ - ΑΓΙΟΥ ΒΑΣΙΛΕΙΟΥ, </v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</v>
      </c>
    </row>
    <row r="219" spans="1:14" x14ac:dyDescent="0.3">
      <c r="A219">
        <v>218</v>
      </c>
      <c r="B219" t="s">
        <v>411</v>
      </c>
      <c r="C219" t="s">
        <v>388</v>
      </c>
      <c r="D219" t="s">
        <v>264</v>
      </c>
      <c r="E219" s="201" t="s">
        <v>797</v>
      </c>
      <c r="F219" s="201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66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</v>
      </c>
    </row>
    <row r="220" spans="1:14" x14ac:dyDescent="0.3">
      <c r="A220">
        <v>219</v>
      </c>
      <c r="B220" t="s">
        <v>411</v>
      </c>
      <c r="C220" t="s">
        <v>389</v>
      </c>
      <c r="D220" t="s">
        <v>269</v>
      </c>
      <c r="E220" s="201" t="s">
        <v>798</v>
      </c>
      <c r="F220" s="201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66" t="s">
        <v>419</v>
      </c>
      <c r="M220" t="str">
        <f t="shared" si="18"/>
        <v xml:space="preserve">ΚΡΗΤΗΣ - ΑΜΑΡΙΟΥ, </v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</v>
      </c>
    </row>
    <row r="221" spans="1:14" x14ac:dyDescent="0.3">
      <c r="A221">
        <v>220</v>
      </c>
      <c r="B221" t="s">
        <v>411</v>
      </c>
      <c r="C221" t="s">
        <v>389</v>
      </c>
      <c r="D221" t="s">
        <v>270</v>
      </c>
      <c r="E221" s="201" t="s">
        <v>799</v>
      </c>
      <c r="F221" s="201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66" t="s">
        <v>419</v>
      </c>
      <c r="M221" t="str">
        <f t="shared" si="18"/>
        <v xml:space="preserve">ΚΡΗΤΗΣ - ΑΝΩΓΕΙΩΝ, </v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</v>
      </c>
    </row>
    <row r="222" spans="1:14" x14ac:dyDescent="0.3">
      <c r="A222">
        <v>221</v>
      </c>
      <c r="B222" t="s">
        <v>411</v>
      </c>
      <c r="C222" t="s">
        <v>279</v>
      </c>
      <c r="D222" t="s">
        <v>273</v>
      </c>
      <c r="E222" s="201" t="s">
        <v>800</v>
      </c>
      <c r="F222" s="201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66" t="s">
        <v>419</v>
      </c>
      <c r="M222" t="str">
        <f t="shared" si="18"/>
        <v xml:space="preserve">ΚΡΗΤΗΣ - ΑΠΟΚΟΡΩΝΟΥ, </v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</v>
      </c>
    </row>
    <row r="223" spans="1:14" x14ac:dyDescent="0.3">
      <c r="A223">
        <v>222</v>
      </c>
      <c r="B223" t="s">
        <v>411</v>
      </c>
      <c r="C223" t="s">
        <v>79</v>
      </c>
      <c r="D223" t="s">
        <v>257</v>
      </c>
      <c r="E223" s="201" t="s">
        <v>801</v>
      </c>
      <c r="F223" s="201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66" t="s">
        <v>419</v>
      </c>
      <c r="M223" t="str">
        <f t="shared" si="18"/>
        <v xml:space="preserve">ΚΡΗΤΗΣ - ΑΡΧΑΝΩΝ – ΑΣΤΕΡΟΥΣΙΩΝ, </v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</v>
      </c>
    </row>
    <row r="224" spans="1:14" x14ac:dyDescent="0.3">
      <c r="A224">
        <v>223</v>
      </c>
      <c r="B224" t="s">
        <v>411</v>
      </c>
      <c r="C224" t="s">
        <v>79</v>
      </c>
      <c r="D224" t="s">
        <v>258</v>
      </c>
      <c r="E224" s="201" t="s">
        <v>802</v>
      </c>
      <c r="F224" s="201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66" t="s">
        <v>419</v>
      </c>
      <c r="M224" t="str">
        <f t="shared" si="18"/>
        <v xml:space="preserve">ΚΡΗΤΗΣ - ΒΙΑΝΝΟΥ, </v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</v>
      </c>
    </row>
    <row r="225" spans="1:14" x14ac:dyDescent="0.3">
      <c r="A225">
        <v>224</v>
      </c>
      <c r="B225" t="s">
        <v>411</v>
      </c>
      <c r="C225" t="s">
        <v>279</v>
      </c>
      <c r="D225" t="s">
        <v>274</v>
      </c>
      <c r="E225" s="201" t="s">
        <v>803</v>
      </c>
      <c r="F225" s="201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66" t="s">
        <v>419</v>
      </c>
      <c r="M225" t="str">
        <f t="shared" si="18"/>
        <v xml:space="preserve">ΚΡΗΤΗΣ - ΓΑΥΔΟΥ, </v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</v>
      </c>
    </row>
    <row r="226" spans="1:14" x14ac:dyDescent="0.3">
      <c r="A226">
        <v>225</v>
      </c>
      <c r="B226" t="s">
        <v>411</v>
      </c>
      <c r="C226" t="s">
        <v>79</v>
      </c>
      <c r="D226" t="s">
        <v>259</v>
      </c>
      <c r="E226" s="201" t="s">
        <v>804</v>
      </c>
      <c r="F226" s="201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66" t="s">
        <v>419</v>
      </c>
      <c r="M226" t="str">
        <f t="shared" si="18"/>
        <v xml:space="preserve">ΚΡΗΤΗΣ - ΓΟΡΤΥΝΑΣ, </v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</v>
      </c>
    </row>
    <row r="227" spans="1:14" x14ac:dyDescent="0.3">
      <c r="A227">
        <v>226</v>
      </c>
      <c r="B227" t="s">
        <v>411</v>
      </c>
      <c r="C227" t="s">
        <v>79</v>
      </c>
      <c r="D227" t="s">
        <v>79</v>
      </c>
      <c r="E227" s="201" t="s">
        <v>805</v>
      </c>
      <c r="F227" s="201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66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</v>
      </c>
    </row>
    <row r="228" spans="1:14" x14ac:dyDescent="0.3">
      <c r="A228">
        <v>227</v>
      </c>
      <c r="B228" t="s">
        <v>411</v>
      </c>
      <c r="C228" t="s">
        <v>388</v>
      </c>
      <c r="D228" t="s">
        <v>265</v>
      </c>
      <c r="E228" s="201" t="s">
        <v>806</v>
      </c>
      <c r="F228" s="201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66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</v>
      </c>
    </row>
    <row r="229" spans="1:14" x14ac:dyDescent="0.3">
      <c r="A229">
        <v>228</v>
      </c>
      <c r="B229" t="s">
        <v>411</v>
      </c>
      <c r="C229" t="s">
        <v>279</v>
      </c>
      <c r="D229" t="s">
        <v>275</v>
      </c>
      <c r="E229" s="201" t="s">
        <v>807</v>
      </c>
      <c r="F229" s="201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66" t="s">
        <v>419</v>
      </c>
      <c r="M229" t="str">
        <f t="shared" si="18"/>
        <v xml:space="preserve">ΚΡΗΤΗΣ - ΚΑΝΤΑΝΟΥ – ΣΕΛΙΝΟΥ, </v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</v>
      </c>
    </row>
    <row r="230" spans="1:14" x14ac:dyDescent="0.3">
      <c r="A230">
        <v>229</v>
      </c>
      <c r="B230" t="s">
        <v>411</v>
      </c>
      <c r="C230" t="s">
        <v>279</v>
      </c>
      <c r="D230" t="s">
        <v>276</v>
      </c>
      <c r="E230" s="201" t="s">
        <v>808</v>
      </c>
      <c r="F230" s="201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66" t="s">
        <v>419</v>
      </c>
      <c r="M230" t="str">
        <f t="shared" si="18"/>
        <v xml:space="preserve">ΚΡΗΤΗΣ - ΚΙΣΣΑΜΟΥ, </v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</v>
      </c>
    </row>
    <row r="231" spans="1:14" x14ac:dyDescent="0.3">
      <c r="A231">
        <v>230</v>
      </c>
      <c r="B231" t="s">
        <v>411</v>
      </c>
      <c r="C231" t="s">
        <v>79</v>
      </c>
      <c r="D231" t="s">
        <v>260</v>
      </c>
      <c r="E231" s="201" t="s">
        <v>809</v>
      </c>
      <c r="F231" s="201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66" t="s">
        <v>419</v>
      </c>
      <c r="M231" t="str">
        <f t="shared" si="18"/>
        <v xml:space="preserve">ΚΡΗΤΗΣ - ΜΑΛΕΒΙΖΙΟΥ, </v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</v>
      </c>
    </row>
    <row r="232" spans="1:14" x14ac:dyDescent="0.3">
      <c r="A232">
        <v>231</v>
      </c>
      <c r="B232" t="s">
        <v>411</v>
      </c>
      <c r="C232" t="s">
        <v>79</v>
      </c>
      <c r="D232" t="s">
        <v>261</v>
      </c>
      <c r="E232" s="201" t="s">
        <v>810</v>
      </c>
      <c r="F232" s="201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66" t="s">
        <v>419</v>
      </c>
      <c r="M232" t="str">
        <f t="shared" si="18"/>
        <v xml:space="preserve">ΚΡΗΤΗΣ - ΜΙΝΩΑ ΠΕΔΙΑΔΑΣ, </v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</v>
      </c>
    </row>
    <row r="233" spans="1:14" x14ac:dyDescent="0.3">
      <c r="A233">
        <v>232</v>
      </c>
      <c r="B233" t="s">
        <v>411</v>
      </c>
      <c r="C233" t="s">
        <v>389</v>
      </c>
      <c r="D233" t="s">
        <v>271</v>
      </c>
      <c r="E233" s="201" t="s">
        <v>811</v>
      </c>
      <c r="F233" s="201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66" t="s">
        <v>419</v>
      </c>
      <c r="M233" t="str">
        <f t="shared" si="18"/>
        <v xml:space="preserve">ΚΡΗΤΗΣ - ΜΥΛΟΠΟΤΑΜΟΥ, </v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</v>
      </c>
    </row>
    <row r="234" spans="1:14" x14ac:dyDescent="0.3">
      <c r="A234">
        <v>233</v>
      </c>
      <c r="B234" t="s">
        <v>411</v>
      </c>
      <c r="C234" t="s">
        <v>388</v>
      </c>
      <c r="D234" t="s">
        <v>266</v>
      </c>
      <c r="E234" s="201" t="s">
        <v>812</v>
      </c>
      <c r="F234" s="201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66" t="s">
        <v>419</v>
      </c>
      <c r="M234" t="str">
        <f t="shared" si="18"/>
        <v xml:space="preserve">ΚΡΗΤΗΣ - ΟΡΟΠΕΔΙΟΥ ΛΑΣΙΘΙΟΥ, </v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</v>
      </c>
    </row>
    <row r="235" spans="1:14" x14ac:dyDescent="0.3">
      <c r="A235">
        <v>234</v>
      </c>
      <c r="B235" t="s">
        <v>411</v>
      </c>
      <c r="C235" t="s">
        <v>279</v>
      </c>
      <c r="D235" t="s">
        <v>277</v>
      </c>
      <c r="E235" s="201" t="s">
        <v>813</v>
      </c>
      <c r="F235" s="201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66" t="s">
        <v>419</v>
      </c>
      <c r="M235" t="str">
        <f t="shared" si="18"/>
        <v xml:space="preserve">ΚΡΗΤΗΣ - ΠΛΑΤΑΝΙΑ, </v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</v>
      </c>
    </row>
    <row r="236" spans="1:14" x14ac:dyDescent="0.3">
      <c r="A236">
        <v>235</v>
      </c>
      <c r="B236" t="s">
        <v>411</v>
      </c>
      <c r="C236" t="s">
        <v>389</v>
      </c>
      <c r="D236" t="s">
        <v>272</v>
      </c>
      <c r="E236" s="201" t="s">
        <v>814</v>
      </c>
      <c r="F236" s="201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66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</v>
      </c>
    </row>
    <row r="237" spans="1:14" x14ac:dyDescent="0.3">
      <c r="A237">
        <v>236</v>
      </c>
      <c r="B237" t="s">
        <v>411</v>
      </c>
      <c r="C237" t="s">
        <v>388</v>
      </c>
      <c r="D237" t="s">
        <v>267</v>
      </c>
      <c r="E237" s="201" t="s">
        <v>815</v>
      </c>
      <c r="F237" s="201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66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</v>
      </c>
    </row>
    <row r="238" spans="1:14" x14ac:dyDescent="0.3">
      <c r="A238">
        <v>237</v>
      </c>
      <c r="B238" t="s">
        <v>411</v>
      </c>
      <c r="C238" t="s">
        <v>279</v>
      </c>
      <c r="D238" t="s">
        <v>278</v>
      </c>
      <c r="E238" s="201" t="s">
        <v>816</v>
      </c>
      <c r="F238" s="201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66" t="s">
        <v>419</v>
      </c>
      <c r="M238" t="str">
        <f t="shared" si="18"/>
        <v xml:space="preserve">ΚΡΗΤΗΣ - ΣΦΑΚΙΩΝ, </v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</v>
      </c>
    </row>
    <row r="239" spans="1:14" x14ac:dyDescent="0.3">
      <c r="A239">
        <v>238</v>
      </c>
      <c r="B239" t="s">
        <v>411</v>
      </c>
      <c r="C239" t="s">
        <v>79</v>
      </c>
      <c r="D239" t="s">
        <v>262</v>
      </c>
      <c r="E239" s="201" t="s">
        <v>817</v>
      </c>
      <c r="F239" s="201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66" t="s">
        <v>419</v>
      </c>
      <c r="M239" t="str">
        <f t="shared" si="18"/>
        <v xml:space="preserve">ΚΡΗΤΗΣ - ΦΑΙΣΤΟΥ, </v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</v>
      </c>
    </row>
    <row r="240" spans="1:14" x14ac:dyDescent="0.3">
      <c r="A240">
        <v>239</v>
      </c>
      <c r="B240" t="s">
        <v>411</v>
      </c>
      <c r="C240" t="s">
        <v>279</v>
      </c>
      <c r="D240" t="s">
        <v>279</v>
      </c>
      <c r="E240" s="201" t="s">
        <v>818</v>
      </c>
      <c r="F240" s="201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66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</v>
      </c>
    </row>
    <row r="241" spans="1:14" x14ac:dyDescent="0.3">
      <c r="A241">
        <v>240</v>
      </c>
      <c r="B241" t="s">
        <v>411</v>
      </c>
      <c r="C241" t="s">
        <v>79</v>
      </c>
      <c r="D241" t="s">
        <v>263</v>
      </c>
      <c r="E241" s="201" t="s">
        <v>819</v>
      </c>
      <c r="F241" s="201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66" t="s">
        <v>419</v>
      </c>
      <c r="M241" t="str">
        <f t="shared" si="18"/>
        <v xml:space="preserve">ΚΡΗΤΗΣ - ΧΕΡΣΟΝΗΣΟΥ, </v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2" spans="1:14" x14ac:dyDescent="0.3">
      <c r="A242">
        <v>241</v>
      </c>
      <c r="B242" t="s">
        <v>412</v>
      </c>
      <c r="C242" t="s">
        <v>390</v>
      </c>
      <c r="D242" t="s">
        <v>286</v>
      </c>
      <c r="E242" s="201" t="s">
        <v>820</v>
      </c>
      <c r="F242" s="201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66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3" spans="1:14" x14ac:dyDescent="0.3">
      <c r="A243">
        <v>242</v>
      </c>
      <c r="B243" t="s">
        <v>412</v>
      </c>
      <c r="C243" t="s">
        <v>392</v>
      </c>
      <c r="D243" t="s">
        <v>303</v>
      </c>
      <c r="E243" s="201" t="s">
        <v>821</v>
      </c>
      <c r="F243" s="201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66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4" spans="1:14" x14ac:dyDescent="0.3">
      <c r="A244">
        <v>243</v>
      </c>
      <c r="B244" t="s">
        <v>412</v>
      </c>
      <c r="C244" t="s">
        <v>282</v>
      </c>
      <c r="D244" t="s">
        <v>281</v>
      </c>
      <c r="E244" s="201" t="s">
        <v>822</v>
      </c>
      <c r="F244" s="201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66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5" spans="1:14" x14ac:dyDescent="0.3">
      <c r="A245">
        <v>244</v>
      </c>
      <c r="B245" t="s">
        <v>412</v>
      </c>
      <c r="C245" t="s">
        <v>280</v>
      </c>
      <c r="D245" t="s">
        <v>280</v>
      </c>
      <c r="E245" s="201" t="s">
        <v>823</v>
      </c>
      <c r="F245" s="201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66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</v>
      </c>
    </row>
    <row r="246" spans="1:14" x14ac:dyDescent="0.3">
      <c r="A246">
        <v>245</v>
      </c>
      <c r="B246" t="s">
        <v>412</v>
      </c>
      <c r="C246" t="s">
        <v>306</v>
      </c>
      <c r="D246" t="s">
        <v>305</v>
      </c>
      <c r="E246" s="201" t="s">
        <v>824</v>
      </c>
      <c r="F246" s="201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66" t="s">
        <v>419</v>
      </c>
      <c r="M246" t="str">
        <f t="shared" si="18"/>
        <v xml:space="preserve">ΝΟΤΙΟΥ ΑΙΓΑΙΟΥ - ΑΝΤΙΠΑΡΟΥ, </v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47" spans="1:14" x14ac:dyDescent="0.3">
      <c r="A247">
        <v>246</v>
      </c>
      <c r="B247" t="s">
        <v>412</v>
      </c>
      <c r="C247" t="s">
        <v>390</v>
      </c>
      <c r="D247" t="s">
        <v>287</v>
      </c>
      <c r="E247" s="201" t="s">
        <v>825</v>
      </c>
      <c r="F247" s="201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66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48" spans="1:14" x14ac:dyDescent="0.3">
      <c r="A248">
        <v>247</v>
      </c>
      <c r="B248" t="s">
        <v>412</v>
      </c>
      <c r="C248" t="s">
        <v>282</v>
      </c>
      <c r="D248" t="s">
        <v>282</v>
      </c>
      <c r="E248" s="201" t="s">
        <v>826</v>
      </c>
      <c r="F248" s="201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66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49" spans="1:14" x14ac:dyDescent="0.3">
      <c r="A249">
        <v>248</v>
      </c>
      <c r="B249" t="s">
        <v>412</v>
      </c>
      <c r="C249" t="s">
        <v>282</v>
      </c>
      <c r="D249" t="s">
        <v>283</v>
      </c>
      <c r="E249" s="201" t="s">
        <v>827</v>
      </c>
      <c r="F249" s="201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66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0" spans="1:14" x14ac:dyDescent="0.3">
      <c r="A250">
        <v>249</v>
      </c>
      <c r="B250" t="s">
        <v>412</v>
      </c>
      <c r="C250" t="s">
        <v>390</v>
      </c>
      <c r="D250" t="s">
        <v>288</v>
      </c>
      <c r="E250" s="201" t="s">
        <v>828</v>
      </c>
      <c r="F250" s="201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66" t="s">
        <v>420</v>
      </c>
      <c r="M250" t="str">
        <f t="shared" si="18"/>
        <v/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1" spans="1:14" x14ac:dyDescent="0.3">
      <c r="A251">
        <v>250</v>
      </c>
      <c r="B251" t="s">
        <v>412</v>
      </c>
      <c r="C251" t="s">
        <v>292</v>
      </c>
      <c r="D251" t="s">
        <v>292</v>
      </c>
      <c r="E251" s="201" t="s">
        <v>829</v>
      </c>
      <c r="F251" s="201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66" t="s">
        <v>420</v>
      </c>
      <c r="M251" t="str">
        <f t="shared" si="18"/>
        <v/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2" spans="1:14" x14ac:dyDescent="0.3">
      <c r="A252">
        <v>251</v>
      </c>
      <c r="B252" t="s">
        <v>412</v>
      </c>
      <c r="C252" t="s">
        <v>292</v>
      </c>
      <c r="D252" t="s">
        <v>293</v>
      </c>
      <c r="E252" s="201" t="s">
        <v>830</v>
      </c>
      <c r="F252" s="201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66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3" spans="1:14" x14ac:dyDescent="0.3">
      <c r="A253">
        <v>252</v>
      </c>
      <c r="B253" t="s">
        <v>412</v>
      </c>
      <c r="C253" t="s">
        <v>391</v>
      </c>
      <c r="D253" t="s">
        <v>294</v>
      </c>
      <c r="E253" s="201" t="s">
        <v>831</v>
      </c>
      <c r="F253" s="201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66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4" spans="1:14" x14ac:dyDescent="0.3">
      <c r="A254">
        <v>253</v>
      </c>
      <c r="B254" t="s">
        <v>412</v>
      </c>
      <c r="C254" t="s">
        <v>299</v>
      </c>
      <c r="D254" t="s">
        <v>298</v>
      </c>
      <c r="E254" s="201" t="s">
        <v>832</v>
      </c>
      <c r="F254" s="201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66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5" spans="1:14" x14ac:dyDescent="0.3">
      <c r="A255">
        <v>254</v>
      </c>
      <c r="B255" t="s">
        <v>412</v>
      </c>
      <c r="C255" t="s">
        <v>391</v>
      </c>
      <c r="D255" t="s">
        <v>295</v>
      </c>
      <c r="E255" s="201" t="s">
        <v>833</v>
      </c>
      <c r="F255" s="201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66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</v>
      </c>
    </row>
    <row r="256" spans="1:14" x14ac:dyDescent="0.3">
      <c r="A256">
        <v>255</v>
      </c>
      <c r="B256" t="s">
        <v>412</v>
      </c>
      <c r="C256" t="s">
        <v>296</v>
      </c>
      <c r="D256" t="s">
        <v>296</v>
      </c>
      <c r="E256" s="201" t="s">
        <v>834</v>
      </c>
      <c r="F256" s="201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66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</v>
      </c>
    </row>
    <row r="257" spans="1:14" x14ac:dyDescent="0.3">
      <c r="A257">
        <v>256</v>
      </c>
      <c r="B257" t="s">
        <v>412</v>
      </c>
      <c r="C257" t="s">
        <v>390</v>
      </c>
      <c r="D257" t="s">
        <v>289</v>
      </c>
      <c r="E257" s="201" t="s">
        <v>835</v>
      </c>
      <c r="F257" s="201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66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</v>
      </c>
    </row>
    <row r="258" spans="1:14" x14ac:dyDescent="0.3">
      <c r="A258">
        <v>257</v>
      </c>
      <c r="B258" t="s">
        <v>412</v>
      </c>
      <c r="C258" t="s">
        <v>390</v>
      </c>
      <c r="D258" t="s">
        <v>290</v>
      </c>
      <c r="E258" s="201" t="s">
        <v>836</v>
      </c>
      <c r="F258" s="201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66" t="s">
        <v>420</v>
      </c>
      <c r="M258" t="str">
        <f t="shared" ref="M258:M321" si="24">IF(K258&lt;&gt;"",IF(L258="ΝΑΙ",J258&amp;" - "&amp;K258&amp;", ",""),"")</f>
        <v/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</v>
      </c>
    </row>
    <row r="259" spans="1:14" x14ac:dyDescent="0.3">
      <c r="A259">
        <v>258</v>
      </c>
      <c r="B259" t="s">
        <v>412</v>
      </c>
      <c r="C259" t="s">
        <v>308</v>
      </c>
      <c r="D259" t="s">
        <v>307</v>
      </c>
      <c r="E259" s="201" t="s">
        <v>837</v>
      </c>
      <c r="F259" s="201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66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</v>
      </c>
    </row>
    <row r="260" spans="1:14" x14ac:dyDescent="0.3">
      <c r="A260">
        <v>259</v>
      </c>
      <c r="B260" t="s">
        <v>412</v>
      </c>
      <c r="C260" t="s">
        <v>299</v>
      </c>
      <c r="D260" t="s">
        <v>299</v>
      </c>
      <c r="E260" s="201" t="s">
        <v>838</v>
      </c>
      <c r="F260" s="201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66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</v>
      </c>
    </row>
    <row r="261" spans="1:14" x14ac:dyDescent="0.3">
      <c r="A261">
        <v>260</v>
      </c>
      <c r="B261" t="s">
        <v>412</v>
      </c>
      <c r="C261" t="s">
        <v>302</v>
      </c>
      <c r="D261" t="s">
        <v>302</v>
      </c>
      <c r="E261" s="201" t="s">
        <v>839</v>
      </c>
      <c r="F261" s="201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66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</v>
      </c>
    </row>
    <row r="262" spans="1:14" x14ac:dyDescent="0.3">
      <c r="A262">
        <v>261</v>
      </c>
      <c r="B262" t="s">
        <v>412</v>
      </c>
      <c r="C262" t="s">
        <v>392</v>
      </c>
      <c r="D262" t="s">
        <v>304</v>
      </c>
      <c r="E262" s="201" t="s">
        <v>840</v>
      </c>
      <c r="F262" s="201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66" t="s">
        <v>419</v>
      </c>
      <c r="M262" t="str">
        <f t="shared" si="24"/>
        <v xml:space="preserve">ΝΟΤΙΟΥ ΑΙΓΑΙΟΥ - ΝΑΞΟΥ ΚΑΙ ΜΙΚΡΩΝ ΚΥΚΛΑΔΩΝ, </v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</v>
      </c>
    </row>
    <row r="263" spans="1:14" x14ac:dyDescent="0.3">
      <c r="A263">
        <v>262</v>
      </c>
      <c r="B263" t="s">
        <v>412</v>
      </c>
      <c r="C263" t="s">
        <v>296</v>
      </c>
      <c r="D263" t="s">
        <v>297</v>
      </c>
      <c r="E263" s="201" t="s">
        <v>841</v>
      </c>
      <c r="F263" s="201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66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</v>
      </c>
    </row>
    <row r="264" spans="1:14" x14ac:dyDescent="0.3">
      <c r="A264">
        <v>263</v>
      </c>
      <c r="B264" t="s">
        <v>412</v>
      </c>
      <c r="C264" t="s">
        <v>306</v>
      </c>
      <c r="D264" t="s">
        <v>306</v>
      </c>
      <c r="E264" s="201" t="s">
        <v>842</v>
      </c>
      <c r="F264" s="201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66" t="s">
        <v>419</v>
      </c>
      <c r="M264" t="str">
        <f t="shared" si="24"/>
        <v xml:space="preserve">ΝΟΤΙΟΥ ΑΙΓΑΙΟΥ - ΠΑΡΟΥ, </v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</v>
      </c>
    </row>
    <row r="265" spans="1:14" x14ac:dyDescent="0.3">
      <c r="A265">
        <v>264</v>
      </c>
      <c r="B265" t="s">
        <v>412</v>
      </c>
      <c r="C265" t="s">
        <v>390</v>
      </c>
      <c r="D265" t="s">
        <v>291</v>
      </c>
      <c r="E265" s="201" t="s">
        <v>843</v>
      </c>
      <c r="F265" s="201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66" t="s">
        <v>420</v>
      </c>
      <c r="M265" t="str">
        <f t="shared" si="24"/>
        <v/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</v>
      </c>
    </row>
    <row r="266" spans="1:14" x14ac:dyDescent="0.3">
      <c r="A266">
        <v>265</v>
      </c>
      <c r="B266" t="s">
        <v>412</v>
      </c>
      <c r="C266" t="s">
        <v>308</v>
      </c>
      <c r="D266" t="s">
        <v>308</v>
      </c>
      <c r="E266" s="201" t="s">
        <v>844</v>
      </c>
      <c r="F266" s="201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66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</v>
      </c>
    </row>
    <row r="267" spans="1:14" x14ac:dyDescent="0.3">
      <c r="A267">
        <v>266</v>
      </c>
      <c r="B267" t="s">
        <v>412</v>
      </c>
      <c r="C267" t="s">
        <v>299</v>
      </c>
      <c r="D267" t="s">
        <v>300</v>
      </c>
      <c r="E267" s="201" t="s">
        <v>845</v>
      </c>
      <c r="F267" s="201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66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</v>
      </c>
    </row>
    <row r="268" spans="1:14" x14ac:dyDescent="0.3">
      <c r="A268">
        <v>267</v>
      </c>
      <c r="B268" t="s">
        <v>412</v>
      </c>
      <c r="C268" t="s">
        <v>282</v>
      </c>
      <c r="D268" t="s">
        <v>284</v>
      </c>
      <c r="E268" s="201" t="s">
        <v>846</v>
      </c>
      <c r="F268" s="201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66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</v>
      </c>
    </row>
    <row r="269" spans="1:14" x14ac:dyDescent="0.3">
      <c r="A269">
        <v>268</v>
      </c>
      <c r="B269" t="s">
        <v>412</v>
      </c>
      <c r="C269" t="s">
        <v>299</v>
      </c>
      <c r="D269" t="s">
        <v>301</v>
      </c>
      <c r="E269" s="201" t="s">
        <v>847</v>
      </c>
      <c r="F269" s="201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66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</v>
      </c>
    </row>
    <row r="270" spans="1:14" x14ac:dyDescent="0.3">
      <c r="A270">
        <v>269</v>
      </c>
      <c r="B270" t="s">
        <v>412</v>
      </c>
      <c r="C270" t="s">
        <v>308</v>
      </c>
      <c r="D270" t="s">
        <v>309</v>
      </c>
      <c r="E270" s="201" t="s">
        <v>848</v>
      </c>
      <c r="F270" s="201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66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</v>
      </c>
    </row>
    <row r="271" spans="1:14" x14ac:dyDescent="0.3">
      <c r="A271">
        <v>270</v>
      </c>
      <c r="B271" t="s">
        <v>412</v>
      </c>
      <c r="C271" t="s">
        <v>393</v>
      </c>
      <c r="D271" t="s">
        <v>312</v>
      </c>
      <c r="E271" s="201" t="s">
        <v>849</v>
      </c>
      <c r="F271" s="201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66" t="s">
        <v>419</v>
      </c>
      <c r="M271" t="str">
        <f t="shared" si="24"/>
        <v xml:space="preserve">ΝΟΤΙΟΥ ΑΙΓΑΙΟΥ - ΣΥΡΟΥ – ΕΡΜΟΥΠΟΛΗΣ, </v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272" spans="1:14" x14ac:dyDescent="0.3">
      <c r="A272">
        <v>271</v>
      </c>
      <c r="B272" t="s">
        <v>412</v>
      </c>
      <c r="C272" t="s">
        <v>308</v>
      </c>
      <c r="D272" t="s">
        <v>310</v>
      </c>
      <c r="E272" s="201" t="s">
        <v>850</v>
      </c>
      <c r="F272" s="201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66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</v>
      </c>
    </row>
    <row r="273" spans="1:14" x14ac:dyDescent="0.3">
      <c r="A273">
        <v>272</v>
      </c>
      <c r="B273" t="s">
        <v>412</v>
      </c>
      <c r="C273" t="s">
        <v>313</v>
      </c>
      <c r="D273" t="s">
        <v>313</v>
      </c>
      <c r="E273" s="201" t="s">
        <v>851</v>
      </c>
      <c r="F273" s="201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66" t="s">
        <v>419</v>
      </c>
      <c r="M273" t="str">
        <f t="shared" si="24"/>
        <v xml:space="preserve">ΝΟΤΙΟΥ ΑΙΓΑΙΟΥ - ΤΗΝΟΥ, </v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4" spans="1:14" x14ac:dyDescent="0.3">
      <c r="A274">
        <v>273</v>
      </c>
      <c r="B274" t="s">
        <v>412</v>
      </c>
      <c r="C274" t="s">
        <v>282</v>
      </c>
      <c r="D274" t="s">
        <v>285</v>
      </c>
      <c r="E274" s="201" t="s">
        <v>852</v>
      </c>
      <c r="F274" s="201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66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5" spans="1:14" x14ac:dyDescent="0.3">
      <c r="A275">
        <v>274</v>
      </c>
      <c r="B275" t="s">
        <v>412</v>
      </c>
      <c r="C275" t="s">
        <v>308</v>
      </c>
      <c r="D275" t="s">
        <v>311</v>
      </c>
      <c r="E275" s="201" t="s">
        <v>853</v>
      </c>
      <c r="F275" s="201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66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</v>
      </c>
    </row>
    <row r="276" spans="1:14" x14ac:dyDescent="0.3">
      <c r="A276">
        <v>275</v>
      </c>
      <c r="B276" t="s">
        <v>413</v>
      </c>
      <c r="C276" t="s">
        <v>397</v>
      </c>
      <c r="D276" t="s">
        <v>329</v>
      </c>
      <c r="E276" s="201" t="s">
        <v>854</v>
      </c>
      <c r="F276" s="201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66" t="s">
        <v>419</v>
      </c>
      <c r="M276" t="str">
        <f t="shared" si="24"/>
        <v xml:space="preserve">ΠΕΛΟΠΟΝΝΗΣΟΥ - ΑΝΑΤΟΛΙΚΗΣ ΜΑΝΗΣ, </v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</v>
      </c>
    </row>
    <row r="277" spans="1:14" x14ac:dyDescent="0.3">
      <c r="A277">
        <v>276</v>
      </c>
      <c r="B277" t="s">
        <v>413</v>
      </c>
      <c r="C277" t="s">
        <v>394</v>
      </c>
      <c r="D277" t="s">
        <v>314</v>
      </c>
      <c r="E277" s="201" t="s">
        <v>855</v>
      </c>
      <c r="F277" s="201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66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</v>
      </c>
    </row>
    <row r="278" spans="1:14" x14ac:dyDescent="0.3">
      <c r="A278">
        <v>277</v>
      </c>
      <c r="B278" t="s">
        <v>413</v>
      </c>
      <c r="C278" t="s">
        <v>396</v>
      </c>
      <c r="D278" t="s">
        <v>323</v>
      </c>
      <c r="E278" s="201" t="s">
        <v>856</v>
      </c>
      <c r="F278" s="201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66" t="s">
        <v>419</v>
      </c>
      <c r="M278" t="str">
        <f t="shared" si="24"/>
        <v xml:space="preserve">ΠΕΛΟΠΟΝΝΗΣΟΥ - ΒΕΛΟΥ – ΒΟΧΑΣ, </v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</v>
      </c>
    </row>
    <row r="279" spans="1:14" x14ac:dyDescent="0.3">
      <c r="A279">
        <v>278</v>
      </c>
      <c r="B279" t="s">
        <v>413</v>
      </c>
      <c r="C279" t="s">
        <v>395</v>
      </c>
      <c r="D279" t="s">
        <v>318</v>
      </c>
      <c r="E279" s="201" t="s">
        <v>857</v>
      </c>
      <c r="F279" s="201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66" t="s">
        <v>419</v>
      </c>
      <c r="M279" t="str">
        <f t="shared" si="24"/>
        <v xml:space="preserve">ΠΕΛΟΠΟΝΝΗΣΟΥ - ΒΟΡΕΙΑΣ ΚΥΝΟΥΡΙΑΣ, </v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</v>
      </c>
    </row>
    <row r="280" spans="1:14" x14ac:dyDescent="0.3">
      <c r="A280">
        <v>279</v>
      </c>
      <c r="B280" t="s">
        <v>413</v>
      </c>
      <c r="C280" t="s">
        <v>395</v>
      </c>
      <c r="D280" t="s">
        <v>319</v>
      </c>
      <c r="E280" s="201" t="s">
        <v>858</v>
      </c>
      <c r="F280" s="201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66" t="s">
        <v>419</v>
      </c>
      <c r="M280" t="str">
        <f t="shared" si="24"/>
        <v xml:space="preserve">ΠΕΛΟΠΟΝΝΗΣΟΥ - ΓΟΡΤΥΝΙΑΣ, </v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</v>
      </c>
    </row>
    <row r="281" spans="1:14" x14ac:dyDescent="0.3">
      <c r="A281">
        <v>280</v>
      </c>
      <c r="B281" t="s">
        <v>413</v>
      </c>
      <c r="C281" t="s">
        <v>398</v>
      </c>
      <c r="D281" t="s">
        <v>334</v>
      </c>
      <c r="E281" s="201" t="s">
        <v>859</v>
      </c>
      <c r="F281" s="201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66" t="s">
        <v>419</v>
      </c>
      <c r="M281" t="str">
        <f t="shared" si="24"/>
        <v xml:space="preserve">ΠΕΛΟΠΟΝΝΗΣΟΥ - ΔΥΤΙΚΗΣ ΜΑΝΗΣ, </v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</v>
      </c>
    </row>
    <row r="282" spans="1:14" x14ac:dyDescent="0.3">
      <c r="A282">
        <v>281</v>
      </c>
      <c r="B282" t="s">
        <v>413</v>
      </c>
      <c r="C282" t="s">
        <v>397</v>
      </c>
      <c r="D282" t="s">
        <v>330</v>
      </c>
      <c r="E282" s="201" t="s">
        <v>860</v>
      </c>
      <c r="F282" s="201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66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</v>
      </c>
    </row>
    <row r="283" spans="1:14" x14ac:dyDescent="0.3">
      <c r="A283">
        <v>282</v>
      </c>
      <c r="B283" t="s">
        <v>413</v>
      </c>
      <c r="C283" t="s">
        <v>394</v>
      </c>
      <c r="D283" t="s">
        <v>315</v>
      </c>
      <c r="E283" s="201" t="s">
        <v>861</v>
      </c>
      <c r="F283" s="201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66" t="s">
        <v>419</v>
      </c>
      <c r="M283" t="str">
        <f t="shared" si="24"/>
        <v xml:space="preserve">ΠΕΛΟΠΟΝΝΗΣΟΥ - ΕΠΙΔΑΥΡΟΥ, </v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</v>
      </c>
    </row>
    <row r="284" spans="1:14" x14ac:dyDescent="0.3">
      <c r="A284">
        <v>283</v>
      </c>
      <c r="B284" t="s">
        <v>413</v>
      </c>
      <c r="C284" t="s">
        <v>394</v>
      </c>
      <c r="D284" t="s">
        <v>316</v>
      </c>
      <c r="E284" s="201" t="s">
        <v>862</v>
      </c>
      <c r="F284" s="201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66" t="s">
        <v>419</v>
      </c>
      <c r="M284" t="str">
        <f t="shared" si="24"/>
        <v xml:space="preserve">ΠΕΛΟΠΟΝΝΗΣΟΥ - ΕΡΜΙΟΝΙΔΑΣ, </v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</v>
      </c>
    </row>
    <row r="285" spans="1:14" x14ac:dyDescent="0.3">
      <c r="A285">
        <v>284</v>
      </c>
      <c r="B285" t="s">
        <v>413</v>
      </c>
      <c r="C285" t="s">
        <v>397</v>
      </c>
      <c r="D285" t="s">
        <v>331</v>
      </c>
      <c r="E285" s="201" t="s">
        <v>863</v>
      </c>
      <c r="F285" s="201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66" t="s">
        <v>419</v>
      </c>
      <c r="M285" t="str">
        <f t="shared" si="24"/>
        <v xml:space="preserve">ΠΕΛΟΠΟΝΝΗΣΟΥ - ΕΥΡΩΤΑ, </v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</v>
      </c>
    </row>
    <row r="286" spans="1:14" x14ac:dyDescent="0.3">
      <c r="A286">
        <v>285</v>
      </c>
      <c r="B286" t="s">
        <v>413</v>
      </c>
      <c r="C286" t="s">
        <v>398</v>
      </c>
      <c r="D286" t="s">
        <v>335</v>
      </c>
      <c r="E286" s="201" t="s">
        <v>864</v>
      </c>
      <c r="F286" s="201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66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</v>
      </c>
    </row>
    <row r="287" spans="1:14" x14ac:dyDescent="0.3">
      <c r="A287">
        <v>286</v>
      </c>
      <c r="B287" t="s">
        <v>413</v>
      </c>
      <c r="C287" t="s">
        <v>396</v>
      </c>
      <c r="D287" t="s">
        <v>324</v>
      </c>
      <c r="E287" s="201" t="s">
        <v>865</v>
      </c>
      <c r="F287" s="201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66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</v>
      </c>
    </row>
    <row r="288" spans="1:14" x14ac:dyDescent="0.3">
      <c r="A288">
        <v>287</v>
      </c>
      <c r="B288" t="s">
        <v>413</v>
      </c>
      <c r="C288" t="s">
        <v>396</v>
      </c>
      <c r="D288" t="s">
        <v>325</v>
      </c>
      <c r="E288" s="201" t="s">
        <v>866</v>
      </c>
      <c r="F288" s="201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66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</v>
      </c>
    </row>
    <row r="289" spans="1:14" x14ac:dyDescent="0.3">
      <c r="A289">
        <v>288</v>
      </c>
      <c r="B289" t="s">
        <v>413</v>
      </c>
      <c r="C289" t="s">
        <v>395</v>
      </c>
      <c r="D289" t="s">
        <v>320</v>
      </c>
      <c r="E289" s="201" t="s">
        <v>867</v>
      </c>
      <c r="F289" s="201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66" t="s">
        <v>419</v>
      </c>
      <c r="M289" t="str">
        <f t="shared" si="24"/>
        <v xml:space="preserve">ΠΕΛΟΠΟΝΝΗΣΟΥ - ΜΕΓΑΛΟΠΟΛΗΣ, </v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</v>
      </c>
    </row>
    <row r="290" spans="1:14" x14ac:dyDescent="0.3">
      <c r="A290">
        <v>289</v>
      </c>
      <c r="B290" t="s">
        <v>413</v>
      </c>
      <c r="C290" t="s">
        <v>398</v>
      </c>
      <c r="D290" t="s">
        <v>336</v>
      </c>
      <c r="E290" s="201" t="s">
        <v>868</v>
      </c>
      <c r="F290" s="201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66" t="s">
        <v>419</v>
      </c>
      <c r="M290" t="str">
        <f t="shared" si="24"/>
        <v xml:space="preserve">ΠΕΛΟΠΟΝΝΗΣΟΥ - ΜΕΣΣΗΝΗΣ, </v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</v>
      </c>
    </row>
    <row r="291" spans="1:14" x14ac:dyDescent="0.3">
      <c r="A291">
        <v>290</v>
      </c>
      <c r="B291" t="s">
        <v>413</v>
      </c>
      <c r="C291" t="s">
        <v>397</v>
      </c>
      <c r="D291" t="s">
        <v>332</v>
      </c>
      <c r="E291" s="201" t="s">
        <v>869</v>
      </c>
      <c r="F291" s="201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66" t="s">
        <v>419</v>
      </c>
      <c r="M291" t="str">
        <f t="shared" si="24"/>
        <v xml:space="preserve">ΠΕΛΟΠΟΝΝΗΣΟΥ - ΜΟΝΕΜΒΑΣΙΑΣ, </v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</v>
      </c>
    </row>
    <row r="292" spans="1:14" x14ac:dyDescent="0.3">
      <c r="A292">
        <v>291</v>
      </c>
      <c r="B292" t="s">
        <v>413</v>
      </c>
      <c r="C292" t="s">
        <v>394</v>
      </c>
      <c r="D292" t="s">
        <v>317</v>
      </c>
      <c r="E292" s="201" t="s">
        <v>870</v>
      </c>
      <c r="F292" s="201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66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</v>
      </c>
    </row>
    <row r="293" spans="1:14" x14ac:dyDescent="0.3">
      <c r="A293">
        <v>292</v>
      </c>
      <c r="B293" t="s">
        <v>413</v>
      </c>
      <c r="C293" t="s">
        <v>396</v>
      </c>
      <c r="D293" t="s">
        <v>326</v>
      </c>
      <c r="E293" s="201" t="s">
        <v>871</v>
      </c>
      <c r="F293" s="201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66" t="s">
        <v>419</v>
      </c>
      <c r="M293" t="str">
        <f t="shared" si="24"/>
        <v xml:space="preserve">ΠΕΛΟΠΟΝΝΗΣΟΥ - ΝΕΜΕΑΣ, </v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</v>
      </c>
    </row>
    <row r="294" spans="1:14" x14ac:dyDescent="0.3">
      <c r="A294">
        <v>293</v>
      </c>
      <c r="B294" t="s">
        <v>413</v>
      </c>
      <c r="C294" t="s">
        <v>395</v>
      </c>
      <c r="D294" t="s">
        <v>321</v>
      </c>
      <c r="E294" s="201" t="s">
        <v>872</v>
      </c>
      <c r="F294" s="201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66" t="s">
        <v>419</v>
      </c>
      <c r="M294" t="str">
        <f t="shared" si="24"/>
        <v xml:space="preserve">ΠΕΛΟΠΟΝΝΗΣΟΥ - ΝΟΤΙΑΣ ΚΥΝΟΥΡΙΑΣ, </v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</v>
      </c>
    </row>
    <row r="295" spans="1:14" x14ac:dyDescent="0.3">
      <c r="A295">
        <v>294</v>
      </c>
      <c r="B295" t="s">
        <v>413</v>
      </c>
      <c r="C295" t="s">
        <v>396</v>
      </c>
      <c r="D295" t="s">
        <v>327</v>
      </c>
      <c r="E295" s="201" t="s">
        <v>873</v>
      </c>
      <c r="F295" s="201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66" t="s">
        <v>419</v>
      </c>
      <c r="M295" t="str">
        <f t="shared" si="24"/>
        <v xml:space="preserve">ΠΕΛΟΠΟΝΝΗΣΟΥ - ΞΥΛΟΚΑΣΤΡΟΥ – ΕΥΡΩΣΤΙΝΗΣ, </v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</v>
      </c>
    </row>
    <row r="296" spans="1:14" x14ac:dyDescent="0.3">
      <c r="A296">
        <v>295</v>
      </c>
      <c r="B296" t="s">
        <v>413</v>
      </c>
      <c r="C296" t="s">
        <v>398</v>
      </c>
      <c r="D296" t="s">
        <v>337</v>
      </c>
      <c r="E296" s="201" t="s">
        <v>874</v>
      </c>
      <c r="F296" s="201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66" t="s">
        <v>419</v>
      </c>
      <c r="M296" t="str">
        <f t="shared" si="24"/>
        <v xml:space="preserve">ΠΕΛΟΠΟΝΝΗΣΟΥ - ΟΙΧΑΛΙΑΣ, </v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</v>
      </c>
    </row>
    <row r="297" spans="1:14" x14ac:dyDescent="0.3">
      <c r="A297">
        <v>296</v>
      </c>
      <c r="B297" t="s">
        <v>413</v>
      </c>
      <c r="C297" t="s">
        <v>398</v>
      </c>
      <c r="D297" t="s">
        <v>338</v>
      </c>
      <c r="E297" s="201" t="s">
        <v>875</v>
      </c>
      <c r="F297" s="201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66" t="s">
        <v>419</v>
      </c>
      <c r="M297" t="str">
        <f t="shared" si="24"/>
        <v xml:space="preserve">ΠΕΛΟΠΟΝΝΗΣΟΥ - ΠΥΛΟΥ – ΝΕΣΤΟΡΟΣ, </v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</v>
      </c>
    </row>
    <row r="298" spans="1:14" x14ac:dyDescent="0.3">
      <c r="A298">
        <v>297</v>
      </c>
      <c r="B298" t="s">
        <v>413</v>
      </c>
      <c r="C298" t="s">
        <v>396</v>
      </c>
      <c r="D298" t="s">
        <v>328</v>
      </c>
      <c r="E298" s="201" t="s">
        <v>876</v>
      </c>
      <c r="F298" s="201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66" t="s">
        <v>419</v>
      </c>
      <c r="M298" t="str">
        <f t="shared" si="24"/>
        <v xml:space="preserve">ΠΕΛΟΠΟΝΝΗΣΟΥ - ΣΙΚΥΩΝΙΩΝ, </v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</v>
      </c>
    </row>
    <row r="299" spans="1:14" x14ac:dyDescent="0.3">
      <c r="A299">
        <v>298</v>
      </c>
      <c r="B299" t="s">
        <v>413</v>
      </c>
      <c r="C299" t="s">
        <v>397</v>
      </c>
      <c r="D299" t="s">
        <v>333</v>
      </c>
      <c r="E299" s="201" t="s">
        <v>877</v>
      </c>
      <c r="F299" s="201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66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</v>
      </c>
    </row>
    <row r="300" spans="1:14" x14ac:dyDescent="0.3">
      <c r="A300">
        <v>299</v>
      </c>
      <c r="B300" t="s">
        <v>413</v>
      </c>
      <c r="C300" t="s">
        <v>395</v>
      </c>
      <c r="D300" t="s">
        <v>322</v>
      </c>
      <c r="E300" s="201" t="s">
        <v>878</v>
      </c>
      <c r="F300" s="201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66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</v>
      </c>
    </row>
    <row r="301" spans="1:14" x14ac:dyDescent="0.3">
      <c r="A301">
        <v>300</v>
      </c>
      <c r="B301" t="s">
        <v>413</v>
      </c>
      <c r="C301" t="s">
        <v>398</v>
      </c>
      <c r="D301" t="s">
        <v>339</v>
      </c>
      <c r="E301" s="201" t="s">
        <v>879</v>
      </c>
      <c r="F301" s="201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66" t="s">
        <v>419</v>
      </c>
      <c r="M301" t="str">
        <f t="shared" si="24"/>
        <v xml:space="preserve">ΠΕΛΟΠΟΝΝΗΣΟΥ - ΤΡΙΦΥΛΙΑΣ, </v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</v>
      </c>
    </row>
    <row r="302" spans="1:14" x14ac:dyDescent="0.3">
      <c r="A302">
        <v>301</v>
      </c>
      <c r="B302" t="s">
        <v>414</v>
      </c>
      <c r="C302" t="s">
        <v>401</v>
      </c>
      <c r="D302" t="s">
        <v>354</v>
      </c>
      <c r="E302" s="201" t="s">
        <v>880</v>
      </c>
      <c r="F302" s="201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66" t="s">
        <v>419</v>
      </c>
      <c r="M302" t="str">
        <f t="shared" si="24"/>
        <v xml:space="preserve">ΣΤΕΡΕΑΣ ΕΛΛΑΔΑΣ - ΑΓΡΑΦΩΝ, </v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</v>
      </c>
    </row>
    <row r="303" spans="1:14" x14ac:dyDescent="0.3">
      <c r="A303">
        <v>302</v>
      </c>
      <c r="B303" t="s">
        <v>414</v>
      </c>
      <c r="C303" t="s">
        <v>399</v>
      </c>
      <c r="D303" t="s">
        <v>340</v>
      </c>
      <c r="E303" s="201" t="s">
        <v>881</v>
      </c>
      <c r="F303" s="201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66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</v>
      </c>
    </row>
    <row r="304" spans="1:14" x14ac:dyDescent="0.3">
      <c r="A304">
        <v>303</v>
      </c>
      <c r="B304" t="s">
        <v>414</v>
      </c>
      <c r="C304" t="s">
        <v>402</v>
      </c>
      <c r="D304" t="s">
        <v>356</v>
      </c>
      <c r="E304" s="201" t="s">
        <v>882</v>
      </c>
      <c r="F304" s="201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66" t="s">
        <v>419</v>
      </c>
      <c r="M304" t="str">
        <f t="shared" si="24"/>
        <v xml:space="preserve">ΣΤΕΡΕΑΣ ΕΛΛΑΔΑΣ - ΑΜΦΙΚΛΕΙΑΣ – ΕΛΑΤΕΙΑΣ, </v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</v>
      </c>
    </row>
    <row r="305" spans="1:14" x14ac:dyDescent="0.3">
      <c r="A305">
        <v>304</v>
      </c>
      <c r="B305" t="s">
        <v>414</v>
      </c>
      <c r="C305" t="s">
        <v>403</v>
      </c>
      <c r="D305" t="s">
        <v>363</v>
      </c>
      <c r="E305" s="201" t="s">
        <v>883</v>
      </c>
      <c r="F305" s="201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66" t="s">
        <v>419</v>
      </c>
      <c r="M305" t="str">
        <f t="shared" si="24"/>
        <v xml:space="preserve">ΣΤΕΡΕΑΣ ΕΛΛΑΔΑΣ - ΔΕΛΦΩΝ, </v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</v>
      </c>
    </row>
    <row r="306" spans="1:14" x14ac:dyDescent="0.3">
      <c r="A306">
        <v>305</v>
      </c>
      <c r="B306" t="s">
        <v>414</v>
      </c>
      <c r="C306" t="s">
        <v>400</v>
      </c>
      <c r="D306" t="s">
        <v>346</v>
      </c>
      <c r="E306" s="201" t="s">
        <v>884</v>
      </c>
      <c r="F306" s="201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66" t="s">
        <v>419</v>
      </c>
      <c r="M306" t="str">
        <f t="shared" si="24"/>
        <v xml:space="preserve">ΣΤΕΡΕΑΣ ΕΛΛΑΔΑΣ - ΔΙΡΦΥΩΝ – ΜΕΣΣΑΠΙΩΝ, </v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</v>
      </c>
    </row>
    <row r="307" spans="1:14" x14ac:dyDescent="0.3">
      <c r="A307">
        <v>306</v>
      </c>
      <c r="B307" t="s">
        <v>414</v>
      </c>
      <c r="C307" t="s">
        <v>399</v>
      </c>
      <c r="D307" t="s">
        <v>341</v>
      </c>
      <c r="E307" s="201" t="s">
        <v>885</v>
      </c>
      <c r="F307" s="201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66" t="s">
        <v>419</v>
      </c>
      <c r="M307" t="str">
        <f t="shared" si="24"/>
        <v xml:space="preserve">ΣΤΕΡΕΑΣ ΕΛΛΑΔΑΣ - ΔΙΣΤΟΜΟΥ – ΑΡΑΧΟΒΑΣ – ΑΝΤΙΚΥΡΑΣ, </v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</v>
      </c>
    </row>
    <row r="308" spans="1:14" x14ac:dyDescent="0.3">
      <c r="A308">
        <v>307</v>
      </c>
      <c r="B308" t="s">
        <v>414</v>
      </c>
      <c r="C308" t="s">
        <v>402</v>
      </c>
      <c r="D308" t="s">
        <v>357</v>
      </c>
      <c r="E308" s="201" t="s">
        <v>886</v>
      </c>
      <c r="F308" s="201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66" t="s">
        <v>419</v>
      </c>
      <c r="M308" t="str">
        <f t="shared" si="24"/>
        <v xml:space="preserve">ΣΤΕΡΕΑΣ ΕΛΛΑΔΑΣ - ΔΟΜΟΚΟΥ, </v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</v>
      </c>
    </row>
    <row r="309" spans="1:14" x14ac:dyDescent="0.3">
      <c r="A309">
        <v>308</v>
      </c>
      <c r="B309" t="s">
        <v>414</v>
      </c>
      <c r="C309" t="s">
        <v>403</v>
      </c>
      <c r="D309" t="s">
        <v>364</v>
      </c>
      <c r="E309" s="201" t="s">
        <v>887</v>
      </c>
      <c r="F309" s="201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66" t="s">
        <v>419</v>
      </c>
      <c r="M309" t="str">
        <f t="shared" si="24"/>
        <v xml:space="preserve">ΣΤΕΡΕΑΣ ΕΛΛΑΔΑΣ - ΔΩΡΙΔΟΣ, </v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</v>
      </c>
    </row>
    <row r="310" spans="1:14" x14ac:dyDescent="0.3">
      <c r="A310">
        <v>309</v>
      </c>
      <c r="B310" t="s">
        <v>414</v>
      </c>
      <c r="C310" t="s">
        <v>400</v>
      </c>
      <c r="D310" t="s">
        <v>347</v>
      </c>
      <c r="E310" s="201" t="s">
        <v>888</v>
      </c>
      <c r="F310" s="201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66" t="s">
        <v>419</v>
      </c>
      <c r="M310" t="str">
        <f t="shared" si="24"/>
        <v xml:space="preserve">ΣΤΕΡΕΑΣ ΕΛΛΑΔΑΣ - ΕΡΕΤΡΙΑΣ, </v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</v>
      </c>
    </row>
    <row r="311" spans="1:14" x14ac:dyDescent="0.3">
      <c r="A311">
        <v>310</v>
      </c>
      <c r="B311" t="s">
        <v>414</v>
      </c>
      <c r="C311" t="s">
        <v>399</v>
      </c>
      <c r="D311" t="s">
        <v>342</v>
      </c>
      <c r="E311" s="201" t="s">
        <v>889</v>
      </c>
      <c r="F311" s="201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66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</v>
      </c>
    </row>
    <row r="312" spans="1:14" x14ac:dyDescent="0.3">
      <c r="A312">
        <v>311</v>
      </c>
      <c r="B312" t="s">
        <v>414</v>
      </c>
      <c r="C312" t="s">
        <v>400</v>
      </c>
      <c r="D312" t="s">
        <v>348</v>
      </c>
      <c r="E312" s="201" t="s">
        <v>890</v>
      </c>
      <c r="F312" s="201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66" t="s">
        <v>419</v>
      </c>
      <c r="M312" t="str">
        <f t="shared" si="24"/>
        <v xml:space="preserve">ΣΤΕΡΕΑΣ ΕΛΛΑΔΑΣ - ΙΣΤΙΑΙΑΣ – ΑΙΔΗΨΟΥ, </v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</v>
      </c>
    </row>
    <row r="313" spans="1:14" x14ac:dyDescent="0.3">
      <c r="A313">
        <v>312</v>
      </c>
      <c r="B313" t="s">
        <v>414</v>
      </c>
      <c r="C313" t="s">
        <v>401</v>
      </c>
      <c r="D313" t="s">
        <v>355</v>
      </c>
      <c r="E313" s="201" t="s">
        <v>891</v>
      </c>
      <c r="F313" s="201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66" t="s">
        <v>419</v>
      </c>
      <c r="M313" t="str">
        <f t="shared" si="24"/>
        <v xml:space="preserve">ΣΤΕΡΕΑΣ ΕΛΛΑΔΑΣ - ΚΑΡΠΕΝΗΣΙΟΥ, </v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</v>
      </c>
    </row>
    <row r="314" spans="1:14" x14ac:dyDescent="0.3">
      <c r="A314">
        <v>313</v>
      </c>
      <c r="B314" t="s">
        <v>414</v>
      </c>
      <c r="C314" t="s">
        <v>400</v>
      </c>
      <c r="D314" t="s">
        <v>349</v>
      </c>
      <c r="E314" s="201" t="s">
        <v>892</v>
      </c>
      <c r="F314" s="201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66" t="s">
        <v>419</v>
      </c>
      <c r="M314" t="str">
        <f t="shared" si="24"/>
        <v xml:space="preserve">ΣΤΕΡΕΑΣ ΕΛΛΑΔΑΣ - ΚΑΡΥΣΤΟΥ, </v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</v>
      </c>
    </row>
    <row r="315" spans="1:14" x14ac:dyDescent="0.3">
      <c r="A315">
        <v>314</v>
      </c>
      <c r="B315" t="s">
        <v>414</v>
      </c>
      <c r="C315" t="s">
        <v>400</v>
      </c>
      <c r="D315" t="s">
        <v>350</v>
      </c>
      <c r="E315" s="201" t="s">
        <v>893</v>
      </c>
      <c r="F315" s="201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66" t="s">
        <v>419</v>
      </c>
      <c r="M315" t="str">
        <f t="shared" si="24"/>
        <v xml:space="preserve">ΣΤΕΡΕΑΣ ΕΛΛΑΔΑΣ - ΚΥΜΗΣ – ΑΛΙΒΕΡΙΟΥ, </v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</v>
      </c>
    </row>
    <row r="316" spans="1:14" x14ac:dyDescent="0.3">
      <c r="A316">
        <v>315</v>
      </c>
      <c r="B316" t="s">
        <v>414</v>
      </c>
      <c r="C316" t="s">
        <v>402</v>
      </c>
      <c r="D316" t="s">
        <v>358</v>
      </c>
      <c r="E316" s="201" t="s">
        <v>894</v>
      </c>
      <c r="F316" s="201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66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</v>
      </c>
    </row>
    <row r="317" spans="1:14" x14ac:dyDescent="0.3">
      <c r="A317">
        <v>316</v>
      </c>
      <c r="B317" t="s">
        <v>414</v>
      </c>
      <c r="C317" t="s">
        <v>399</v>
      </c>
      <c r="D317" t="s">
        <v>343</v>
      </c>
      <c r="E317" s="201" t="s">
        <v>895</v>
      </c>
      <c r="F317" s="201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66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</v>
      </c>
    </row>
    <row r="318" spans="1:14" x14ac:dyDescent="0.3">
      <c r="A318">
        <v>317</v>
      </c>
      <c r="B318" t="s">
        <v>414</v>
      </c>
      <c r="C318" t="s">
        <v>402</v>
      </c>
      <c r="D318" t="s">
        <v>359</v>
      </c>
      <c r="E318" s="201" t="s">
        <v>896</v>
      </c>
      <c r="F318" s="201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66" t="s">
        <v>419</v>
      </c>
      <c r="M318" t="str">
        <f t="shared" si="24"/>
        <v xml:space="preserve">ΣΤΕΡΕΑΣ ΕΛΛΑΔΑΣ - ΛΟΚΡΩΝ, </v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</v>
      </c>
    </row>
    <row r="319" spans="1:14" x14ac:dyDescent="0.3">
      <c r="A319">
        <v>318</v>
      </c>
      <c r="B319" t="s">
        <v>414</v>
      </c>
      <c r="C319" t="s">
        <v>402</v>
      </c>
      <c r="D319" t="s">
        <v>360</v>
      </c>
      <c r="E319" s="201" t="s">
        <v>897</v>
      </c>
      <c r="F319" s="201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66" t="s">
        <v>419</v>
      </c>
      <c r="M319" t="str">
        <f t="shared" si="24"/>
        <v xml:space="preserve">ΣΤΕΡΕΑΣ ΕΛΛΑΔΑΣ - ΜΑΚΡΑΚΩΜΗΣ, </v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</v>
      </c>
    </row>
    <row r="320" spans="1:14" x14ac:dyDescent="0.3">
      <c r="A320">
        <v>319</v>
      </c>
      <c r="B320" t="s">
        <v>414</v>
      </c>
      <c r="C320" t="s">
        <v>400</v>
      </c>
      <c r="D320" t="s">
        <v>351</v>
      </c>
      <c r="E320" s="201" t="s">
        <v>898</v>
      </c>
      <c r="F320" s="201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66" t="s">
        <v>419</v>
      </c>
      <c r="M320" t="str">
        <f t="shared" si="24"/>
        <v xml:space="preserve">ΣΤΕΡΕΑΣ ΕΛΛΑΔΑΣ - ΜΑΝΤΟΥΔΙΟΥ – ΛΙΜΝΗΣ – ΑΓΙΑΣ ΑΝΝΑΣ, </v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</v>
      </c>
    </row>
    <row r="321" spans="1:14" x14ac:dyDescent="0.3">
      <c r="A321">
        <v>320</v>
      </c>
      <c r="B321" t="s">
        <v>414</v>
      </c>
      <c r="C321" t="s">
        <v>402</v>
      </c>
      <c r="D321" t="s">
        <v>361</v>
      </c>
      <c r="E321" s="201" t="s">
        <v>899</v>
      </c>
      <c r="F321" s="201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66" t="s">
        <v>419</v>
      </c>
      <c r="M321" t="str">
        <f t="shared" si="24"/>
        <v xml:space="preserve">ΣΤΕΡΕΑΣ ΕΛΛΑΔΑΣ - ΜΩΛΟΥ – ΑΓΙΟΥ ΚΩΝΣΤΑΝΤΙΝΟΥ, </v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</v>
      </c>
    </row>
    <row r="322" spans="1:14" x14ac:dyDescent="0.3">
      <c r="A322">
        <v>321</v>
      </c>
      <c r="B322" t="s">
        <v>414</v>
      </c>
      <c r="C322" t="s">
        <v>399</v>
      </c>
      <c r="D322" t="s">
        <v>344</v>
      </c>
      <c r="E322" s="201" t="s">
        <v>900</v>
      </c>
      <c r="F322" s="201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66" t="s">
        <v>419</v>
      </c>
      <c r="M322" t="str">
        <f t="shared" ref="M322:M326" si="30">IF(K322&lt;&gt;"",IF(L322="ΝΑΙ",J322&amp;" - "&amp;K322&amp;", ",""),"")</f>
        <v xml:space="preserve">ΣΤΕΡΕΑΣ ΕΛΛΑΔΑΣ - ΟΡΧΟΜΕΝΟΥ, </v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</v>
      </c>
    </row>
    <row r="323" spans="1:14" x14ac:dyDescent="0.3">
      <c r="A323">
        <v>322</v>
      </c>
      <c r="B323" t="s">
        <v>414</v>
      </c>
      <c r="C323" t="s">
        <v>400</v>
      </c>
      <c r="D323" t="s">
        <v>352</v>
      </c>
      <c r="E323" s="201" t="s">
        <v>901</v>
      </c>
      <c r="F323" s="201">
        <v>14474</v>
      </c>
      <c r="G323" t="str">
        <f>LOOKUP(B323,ΠΕΡΙΦΕΡΕΙΑ!$A$2:$A$14,ΠΕΡΙΦΕΡΕΙΑ!$B$2:$B$14)</f>
        <v>Μερική</v>
      </c>
      <c r="H323">
        <f t="shared" ref="H323:H326" si="31">IF(G323="Μερική",A323,"")</f>
        <v>322</v>
      </c>
      <c r="I323">
        <f t="shared" ref="I323:I326" si="32">SMALL(H:H,A323)</f>
        <v>322</v>
      </c>
      <c r="J323" t="str">
        <f t="shared" ref="J323:J326" si="33">IF(ISNUMBER(I323),LOOKUP(I323,A:A,B:B),"")</f>
        <v>ΣΤΕΡΕΑΣ ΕΛΛΑΔΑΣ</v>
      </c>
      <c r="K323" t="str">
        <f t="shared" ref="K323:K326" si="34">IF(ISNUMBER(I323),LOOKUP(I323,A:A,D:D),"")</f>
        <v>ΣΚΥΡΟΥ</v>
      </c>
      <c r="L323" s="166" t="s">
        <v>420</v>
      </c>
      <c r="M323" t="str">
        <f t="shared" si="30"/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</v>
      </c>
    </row>
    <row r="324" spans="1:14" x14ac:dyDescent="0.3">
      <c r="A324">
        <v>323</v>
      </c>
      <c r="B324" t="s">
        <v>414</v>
      </c>
      <c r="C324" t="s">
        <v>402</v>
      </c>
      <c r="D324" t="s">
        <v>362</v>
      </c>
      <c r="E324" s="201" t="s">
        <v>902</v>
      </c>
      <c r="F324" s="201">
        <v>14484</v>
      </c>
      <c r="G324" t="str">
        <f>LOOKUP(B324,ΠΕΡΙΦΕΡΕΙΑ!$A$2:$A$14,ΠΕΡΙΦΕΡΕΙΑ!$B$2:$B$14)</f>
        <v>Μερική</v>
      </c>
      <c r="H324">
        <f t="shared" si="31"/>
        <v>323</v>
      </c>
      <c r="I324">
        <f t="shared" si="32"/>
        <v>323</v>
      </c>
      <c r="J324" t="str">
        <f t="shared" si="33"/>
        <v>ΣΤΕΡΕΑΣ ΕΛΛΑΔΑΣ</v>
      </c>
      <c r="K324" t="str">
        <f t="shared" si="34"/>
        <v>ΣΤΥΛΙΔΟΣ</v>
      </c>
      <c r="L324" s="166" t="s">
        <v>419</v>
      </c>
      <c r="M324" t="str">
        <f t="shared" si="30"/>
        <v xml:space="preserve">ΣΤΕΡΕΑΣ ΕΛΛΑΔΑΣ - ΣΤΥΛΙΔΟΣ, </v>
      </c>
      <c r="N324" t="str">
        <f t="shared" ref="N324:N326" si="35"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</v>
      </c>
    </row>
    <row r="325" spans="1:14" x14ac:dyDescent="0.3">
      <c r="A325">
        <v>324</v>
      </c>
      <c r="B325" t="s">
        <v>414</v>
      </c>
      <c r="C325" t="s">
        <v>399</v>
      </c>
      <c r="D325" t="s">
        <v>345</v>
      </c>
      <c r="E325" s="201" t="s">
        <v>903</v>
      </c>
      <c r="F325" s="201">
        <v>14444</v>
      </c>
      <c r="G325" t="str">
        <f>LOOKUP(B325,ΠΕΡΙΦΕΡΕΙΑ!$A$2:$A$14,ΠΕΡΙΦΕΡΕΙΑ!$B$2:$B$14)</f>
        <v>Μερική</v>
      </c>
      <c r="H325">
        <f t="shared" si="31"/>
        <v>324</v>
      </c>
      <c r="I325">
        <f t="shared" si="32"/>
        <v>324</v>
      </c>
      <c r="J325" t="str">
        <f t="shared" si="33"/>
        <v>ΣΤΕΡΕΑΣ ΕΛΛΑΔΑΣ</v>
      </c>
      <c r="K325" t="str">
        <f t="shared" si="34"/>
        <v>ΤΑΝΑΓΡΑΣ</v>
      </c>
      <c r="L325" s="166" t="s">
        <v>420</v>
      </c>
      <c r="M325" t="str">
        <f t="shared" si="30"/>
        <v/>
      </c>
      <c r="N325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</v>
      </c>
    </row>
    <row r="326" spans="1:14" x14ac:dyDescent="0.3">
      <c r="A326">
        <v>325</v>
      </c>
      <c r="B326" t="s">
        <v>414</v>
      </c>
      <c r="C326" t="s">
        <v>400</v>
      </c>
      <c r="D326" t="s">
        <v>353</v>
      </c>
      <c r="E326" s="201" t="s">
        <v>904</v>
      </c>
      <c r="F326" s="201">
        <v>14538</v>
      </c>
      <c r="G326" t="str">
        <f>LOOKUP(B326,ΠΕΡΙΦΕΡΕΙΑ!$A$2:$A$14,ΠΕΡΙΦΕΡΕΙΑ!$B$2:$B$14)</f>
        <v>Μερική</v>
      </c>
      <c r="H326">
        <f t="shared" si="31"/>
        <v>325</v>
      </c>
      <c r="I326">
        <f t="shared" si="32"/>
        <v>325</v>
      </c>
      <c r="J326" t="str">
        <f t="shared" si="33"/>
        <v>ΣΤΕΡΕΑΣ ΕΛΛΑΔΑΣ</v>
      </c>
      <c r="K326" t="str">
        <f t="shared" si="34"/>
        <v>ΧΑΛΚΙΔΕΩΝ</v>
      </c>
      <c r="L326" s="166" t="s">
        <v>419</v>
      </c>
      <c r="M326" t="str">
        <f t="shared" si="30"/>
        <v xml:space="preserve">ΣΤΕΡΕΑΣ ΕΛΛΑΔΑΣ - ΧΑΛΚΙΔΕΩΝ, </v>
      </c>
      <c r="N326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ΠΡΟΣΟΤΣΑΝΗΣ, ΑΝΑΤΟΛΙΚΗΣ ΜΑΚΕΔΟΝΙΑΣ ΚΑΙ ΘΡΑΚΗΣ - ΣΑΜΟΘΡΑΚΗΣ,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ΑΙΓΙΝΑΣ,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ΠΟΡΟΥ, ΑΤΤΙΚΗΣ - ΡΑΦΗΝΑΣ – ΠΙΚΕΡΜΙΟΥ, ΑΤΤΙΚΗΣ - ΣΑΛΑΜΙΝΟΣ, ΑΤΤΙΚΗΣ - ΣΑΡΩΝΙΚΟΥ, ΑΤΤΙΚΗΣ - ΣΠΑΤΩΝ – ΑΡΤΕΜΙΔΟΣ, ΑΤΤΙΚΗΣ - ΣΠΕΤΣΩΝ, ΑΤΤΙΚΗΣ - ΤΡΟΙΖΗΝΙΑΣ, ΑΤΤΙΚΗΣ - ΦΙΛΑΔΕΛΦΕΙΑΣ – ΧΑΛΚΗΔΟΝΟΣ, ΑΤΤΙΚΗΣ - ΦΙΛΟΘΕΗΣ – ΨΥΧΙΚΟΥ, ΑΤΤΙΚΗΣ - ΦΥΛΗΣ, ΑΤΤΙΚΗΣ - ΧΑΪΔΑΡΙΟΥ, ΑΤΤΙΚΗΣ - ΧΑΛΑΝΔΡΙΟΥ, ΑΤΤΙΚΗΣ - ΩΡΩΠΟΥ,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ΑΚΤΙΟΥ – ΒΟΝΙΤΣΑΣ, ΔΥΤΙΚΗΣ ΕΛΛΑΔΑΣ - ΑΜΦΙΛΟΧΙΑΣ, ΔΥΤΙΚΗΣ ΕΛΛΑΔΑΣ - ΑΝΔΡΑΒΙΔΑΣ – ΚΥΛΛΗΝΗΣ, ΔΥΤΙΚΗΣ ΕΛΛΑΔΑΣ - ΑΝΔΡΙΤΣΑΙΝΑΣ – ΚΡΕΣΤΕΝΩΝ, ΔΥΤΙΚΗΣ ΕΛΛΑΔΑΣ - ΑΡΧΑΙΑΣ ΟΛΥΜΠΙΑΣ, ΔΥΤΙΚΗΣ ΕΛΛΑΔΑΣ - ΔΥΤΙΚΗΣ ΑΧΑΪΑΣ, ΔΥΤΙΚΗΣ ΕΛΛΑΔΑΣ - ΕΡΥΜΑΝΘΟΥ, ΔΥΤΙΚΗΣ ΕΛΛΑΔΑΣ - ΖΑΧΑΡΩΣ, ΔΥΤΙΚΗΣ ΕΛΛΑΔΑΣ - ΗΛΙΔΑΣ, ΔΥΤΙΚΗΣ ΕΛΛΑΔΑΣ - ΘΕΡΜΟΥ, ΔΥΤΙΚΗΣ ΕΛΛΑΔΑΣ - ΙΕΡΑΣ ΠΟΛΗΣ ΜΕΣΟΛΟΓΓΙΟΥ, ΔΥΤΙΚΗΣ ΕΛΛΑΔΑΣ - ΚΑΛΑΒΡΥΤΩΝ, ΔΥΤΙΚΗΣ ΕΛΛΑΔΑΣ - ΝΑΥΠΑΚΤΙΑΣ, ΔΥΤΙΚΗΣ ΕΛΛΑΔΑΣ - ΞΗΡΟΜΕΡΟΥ, ΔΥΤΙΚΗΣ ΕΛΛΑΔΑΣ - ΠΑΤΡΕΩΝ, ΔΥΤΙΚΗΣ ΕΛΛΑΔΑΣ - ΠΗΝΕΙΟΥ, ΔΥΤΙΚΗΣ ΕΛΛΑΔΑΣ - ΠΥΡΓΟΥ, ΔΥΤΙΚΗΣ ΜΑΚΕΔΟΝΙΑΣ - ΑΜΥΝΤΑΙΟΥ, ΔΥΤΙΚΗΣ ΜΑΚΕΔΟΝΙΑΣ - ΒΟΪΟΥ, ΔΥΤΙΚΗΣ ΜΑΚΕΔΟΝΙΑΣ - ΓΡΕΒΕΝΩΝ, ΔΥΤΙΚΗΣ ΜΑΚΕΔΟΝΙΑΣ - ΔΕΣΚΑΤΗΣ, ΔΥΤΙΚΗΣ ΜΑΚΕΔΟΝΙΑΣ - ΕΟΡΔΑΙΑΣ, ΔΥΤΙΚΗΣ ΜΑΚΕΔΟΝΙΑΣ - ΚΑΣΤΟΡΙΑΣ, ΔΥΤΙΚΗΣ ΜΑΚΕΔΟΝΙΑΣ - ΚΟΖΑΝΗΣ, ΔΥΤΙΚΗΣ ΜΑΚΕΔΟΝΙΑΣ - ΟΡΕΣΤΙΔΟΣ, ΔΥΤΙΚΗΣ ΜΑΚΕΔΟΝΙΑΣ - ΠΡΕΣΠΩΝ, ΔΥΤΙΚΗΣ ΜΑΚΕΔΟΝΙΑΣ - ΣΕΡΒΙΩΝ – ΒΕΛΒΕΝΤΟΥ, ΔΥΤΙΚΗΣ ΜΑΚΕΔΟΝΙΑΣ - ΦΛΩΡΙΝΑΣ, ΗΠΕΙΡΟΥ - ΑΡΤΑΙΩΝ, ΗΠΕΙΡΟΥ - ΒΟΡΕΙΩΝ ΤΖΟΥΜΕΡΚΩΝ, ΗΠΕΙΡΟΥ - ΓΕΩΡΓΙΟΥ ΚΑΡΑΪΣΚΑΚΗ, ΗΠΕΙΡΟΥ - ΔΩΔΩΝΗΣ, ΗΠΕΙΡΟΥ - ΖΗΡΟΥ, ΗΠΕΙΡΟΥ - ΖΙΤΣΑΣ, ΗΠΕΙΡΟΥ - ΗΓΟΥΜΕΝΙΤΣΑΣ, ΗΠΕΙΡΟΥ - ΙΩΑΝΝΙΤΩΝ, ΗΠΕΙΡΟΥ - ΚΕΝΤΡΙΚΩΝ ΤΖΟΥΜΕΡΚΩΝ, ΗΠΕΙΡΟΥ - ΚΟΝΙΤΣΑΣ, ΗΠΕΙΡΟΥ - ΜΕΤΣΟΒΟΥ, ΗΠΕΙΡΟΥ - ΝΙΚΟΛΑΟΥ ΣΚΟΥΦΑ, ΗΠΕΙΡΟΥ - ΠΡΕΒΕΖΑΣ, ΗΠΕΙΡΟΥ - ΣΟΥΛΙΟΥ, ΗΠΕΙΡΟΥ - ΦΙΛΙΑΤΩΝ, ΘΕΣΣΑΛΙΑΣ - ΑΓΙΑΣ, ΘΕΣΣΑΛΙΑΣ - ΑΛΜΥΡΟΥ, ΘΕΣΣΑΛΙΑΣ - ΑΡΓΙΘΕΑΣ, ΘΕΣΣΑΛΙΑΣ - ΒΟΛΟΥ, ΘΕΣΣΑΛΙΑΣ - ΕΛΑΣΣΟΝΑΣ, ΘΕΣΣΑΛΙΑΣ - ΖΑΓΟΡΑΣ – ΜΟΥΡΕΣΙΟΥ, ΘΕΣΣΑΛΙΑΣ - ΚΑΛΑΜΠΑΚΑΣ, ΘΕΣΣΑΛΙΑΣ - ΚΑΡΔΙΤΣΑΣ, ΘΕΣΣΑΛΙΑΣ - ΚΙΛΕΛΕΡ, ΘΕΣΣΑΛΙΑΣ - ΛΑΡΙΣΑΙΩΝ, ΘΕΣΣΑΛΙΑΣ - ΜΟΥΖΑΚΙΟΥ, ΘΕΣΣΑΛΙΑΣ - ΝΟΤΙΟΥ ΠΗΛΙΟΥ, ΘΕΣΣΑΛΙΑΣ - ΠΑΛΑΜΑ, ΘΕΣΣΑΛΙΑΣ - ΠΥΛΗΣ, ΘΕΣΣΑΛΙΑΣ - ΡΗΓΑ ΦΕΡΑΙΟΥ, ΘΕΣΣΑΛΙΑΣ - ΣΚΙΑΘΟΥ, ΘΕΣΣΑΛΙΑΣ - ΣΟΦΑΔΩΝ, ΘΕΣΣΑΛΙΑΣ - ΤΕΜΠΩΝ, ΘΕΣΣΑΛΙΑΣ - ΤΡΙΚΚΑΙΩΝ, ΘΕΣΣΑΛΙΑΣ - ΤΥΡΝΑΒΟΥ, ΘΕΣΣΑΛΙΑΣ - ΦΑΡΚΑΔΟΝΑΣ, ΘΕΣΣΑΛΙΑΣ - ΦΑΡΣΑΛΩΝ, ΙΟΝΙΩΝ ΝΗΣΩΝ - ΖΑΚΥΝΘΟΥ, ΙΟΝΙΩΝ ΝΗΣΩΝ - ΚΕΡΚΥΡΑΣ, ΙΟΝΙΩΝ ΝΗΣΩΝ - ΚΕΦΑΛΟΝΙΑΣ, ΙΟΝΙΩΝ ΝΗΣΩΝ - ΛΕΥΚΑΔΑΣ, ΚΕΝΤΡΙΚΗΣ ΜΑΚΕΔΟΝΙΑΣ - ΑΛΕΞΑΝΔΡΕΙΑΣ, ΚΕΝΤΡΙΚΗΣ ΜΑΚΕΔΟΝΙΑΣ - ΑΛΜΩΠΙΑΣ,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ΔΙΟΥ – ΟΛΥΜΠΟΥ,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ΠΥΔΝΑΣ – ΚΟΛΙΝΔΡΟΥ,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ΣΚΥΔΡΑΣ, ΚΕΝΤΡΙΚΗΣ ΜΑΚΕΔΟΝΙΑΣ - ΧΑΛΚΗΔΟΝΟΣ, ΚΕΝΤΡΙΚΗΣ ΜΑΚΕΔΟΝΙΑΣ - ΩΡΑΙΟΚΑΣΤΡΟΥ, ΚΡΗΤΗΣ - ΑΓΙΟΥ ΒΑΣΙΛΕΙΟΥ, ΚΡΗΤΗΣ - ΑΓΙΟΥ ΝΙΚΟΛΑΟΥ, ΚΡΗΤΗΣ - ΑΜΑΡΙΟΥ, ΚΡΗΤΗΣ - ΑΝΩΓΕΙΩΝ, ΚΡΗΤΗΣ - ΑΠΟΚΟΡΩΝΟΥ, ΚΡΗΤΗΣ - ΑΡΧΑΝΩΝ – ΑΣΤΕΡΟΥΣΙΩΝ, ΚΡΗΤΗΣ - ΒΙΑΝΝΟΥ, ΚΡΗΤΗΣ - ΓΑΥΔΟΥ, ΚΡΗΤΗΣ - ΓΟΡΤΥΝΑΣ, ΚΡΗΤΗΣ - ΗΡΑΚΛΕΙΟΥ, ΚΡΗΤΗΣ - ΙΕΡΑΠΕΤΡΑΣ, ΚΡΗΤΗΣ - ΚΑΝΤΑΝΟΥ – ΣΕΛΙΝΟΥ, ΚΡΗΤΗΣ - ΚΙΣΣΑΜΟΥ, ΚΡΗΤΗΣ - ΜΑΛΕΒΙΖΙΟΥ, ΚΡΗΤΗΣ - ΜΙΝΩΑ ΠΕΔΙΑΔΑΣ, ΚΡΗΤΗΣ - ΜΥΛΟΠΟΤΑΜΟΥ, ΚΡΗΤΗΣ - ΟΡΟΠΕΔΙΟΥ ΛΑΣΙΘΙΟΥ, ΚΡΗΤΗΣ - ΠΛΑΤΑΝΙΑ, ΚΡΗΤΗΣ - ΡΕΘΥΜΝΗΣ, ΚΡΗΤΗΣ - ΣΗΤΕΙΑΣ, ΚΡΗΤΗΣ - ΣΦΑΚΙΩΝ, ΚΡΗΤΗΣ - ΦΑΙΣΤΟΥ, ΚΡΗΤΗΣ - ΧΑΝΙΩΝ, ΚΡΗΤΗΣ - ΧΕΡΣΟΝΗΣΟΥ, ΝΟΤΙΟΥ ΑΙΓΑΙΟΥ - ΑΝΤΙΠΑΡΟΥ, ΝΟΤΙΟΥ ΑΙΓΑΙΟΥ - ΚΩ, ΝΟΤΙΟΥ ΑΙΓΑΙΟΥ - ΜΥΚΟΝΟΥ, ΝΟΤΙΟΥ ΑΙΓΑΙΟΥ - ΝΑΞΟΥ ΚΑΙ ΜΙΚΡΩΝ ΚΥΚΛΑΔΩΝ, ΝΟΤΙΟΥ ΑΙΓΑΙΟΥ - ΠΑΡΟΥ, ΝΟΤΙΟΥ ΑΙΓΑΙΟΥ - ΡΟΔΟΥ, ΝΟΤΙΟΥ ΑΙΓΑΙΟΥ - ΣΥΡΟΥ – ΕΡΜΟΥΠΟΛΗΣ, ΝΟΤΙΟΥ ΑΙΓΑΙΟΥ - ΤΗΝΟΥ, ΠΕΛΟΠΟΝΝΗΣΟΥ - ΑΝΑΤΟΛΙΚΗΣ ΜΑΝΗΣ, ΠΕΛΟΠΟΝΝΗΣΟΥ - ΑΡΓΟΥΣ – ΜΥΚΗΝΩΝ, ΠΕΛΟΠΟΝΝΗΣΟΥ - ΒΕΛΟΥ – ΒΟΧΑΣ, ΠΕΛΟΠΟΝΝΗΣΟΥ - ΒΟΡΕΙΑΣ ΚΥΝΟΥΡΙΑΣ, ΠΕΛΟΠΟΝΝΗΣΟΥ - ΓΟΡΤΥΝΙΑΣ, ΠΕΛΟΠΟΝΝΗΣΟΥ - ΔΥΤΙΚΗΣ ΜΑΝΗΣ, ΠΕΛΟΠΟΝΝΗΣΟΥ - ΕΠΙΔΑΥΡΟΥ, ΠΕΛΟΠΟΝΝΗΣΟΥ - ΕΡΜΙΟΝΙΔΑΣ, ΠΕΛΟΠΟΝΝΗΣΟΥ - ΕΥΡΩΤΑ, ΠΕΛΟΠΟΝΝΗΣΟΥ - ΚΑΛΑΜΑΤΑΣ, ΠΕΛΟΠΟΝΝΗΣΟΥ - ΚΟΡΙΝΘΙΩΝ, ΠΕΛΟΠΟΝΝΗΣΟΥ - ΛΟΥΤΡΑΚΙΟΥ – ΑΓΙΩΝ ΘΕΟΔΩΡΩΝ, ΠΕΛΟΠΟΝΝΗΣΟΥ - ΜΕΓΑΛΟΠΟΛΗΣ, ΠΕΛΟΠΟΝΝΗΣΟΥ - ΜΕΣΣΗΝΗΣ, ΠΕΛΟΠΟΝΝΗΣΟΥ - ΜΟΝΕΜΒΑΣΙΑΣ, ΠΕΛΟΠΟΝΝΗΣΟΥ - ΝΑΥΠΛΙΕΩΝ, ΠΕΛΟΠΟΝΝΗΣΟΥ - ΝΕΜΕΑΣ, ΠΕΛΟΠΟΝΝΗΣΟΥ - ΝΟΤΙΑΣ ΚΥΝΟΥΡΙΑΣ, ΠΕΛΟΠΟΝΝΗΣΟΥ - ΞΥΛΟΚΑΣΤΡΟΥ – ΕΥΡΩΣΤΙΝΗΣ, ΠΕΛΟΠΟΝΝΗΣΟΥ - ΟΙΧΑΛΙΑΣ, ΠΕΛΟΠΟΝΝΗΣΟΥ - ΠΥΛΟΥ – ΝΕΣΤΟΡΟΣ, ΠΕΛΟΠΟΝΝΗΣΟΥ - ΣΙΚΥΩΝΙΩΝ, ΠΕΛΟΠΟΝΝΗΣΟΥ - ΣΠΑΡΤΗΣ, ΠΕΛΟΠΟΝΝΗΣΟΥ - ΤΡΙΠΟΛΗΣ, ΠΕΛΟΠΟΝΝΗΣΟΥ - ΤΡΙΦΥΛΙΑΣ, ΣΤΕΡΕΑΣ ΕΛΛΑΔΑΣ - ΑΓΡΑΦΩΝ, ΣΤΕΡΕΑΣ ΕΛΛΑΔΑΣ - ΑΜΦΙΚΛΕΙΑΣ – ΕΛΑΤΕΙΑΣ, ΣΤΕΡΕΑΣ ΕΛΛΑΔΑΣ - ΔΕΛΦΩΝ, ΣΤΕΡΕΑΣ ΕΛΛΑΔΑΣ - ΔΙΡΦΥΩΝ – ΜΕΣΣΑΠΙΩΝ, ΣΤΕΡΕΑΣ ΕΛΛΑΔΑΣ - ΔΙΣΤΟΜΟΥ – ΑΡΑΧΟΒΑΣ – ΑΝΤΙΚΥΡΑΣ, ΣΤΕΡΕΑΣ ΕΛΛΑΔΑΣ - ΔΟΜΟΚΟΥ, ΣΤΕΡΕΑΣ ΕΛΛΑΔΑΣ - ΔΩΡΙΔΟΣ, ΣΤΕΡΕΑΣ ΕΛΛΑΔΑΣ - ΕΡΕΤΡΙΑΣ, ΣΤΕΡΕΑΣ ΕΛΛΑΔΑΣ - ΘΗΒΑΙΩΝ, ΣΤΕΡΕΑΣ ΕΛΛΑΔΑΣ - ΙΣΤΙΑΙΑΣ – ΑΙΔΗΨΟΥ, ΣΤΕΡΕΑΣ ΕΛΛΑΔΑΣ - ΚΑΡΠΕΝΗΣΙΟΥ, ΣΤΕΡΕΑΣ ΕΛΛΑΔΑΣ - ΚΑΡΥΣΤΟΥ, ΣΤΕΡΕΑΣ ΕΛΛΑΔΑΣ - ΚΥΜΗΣ – ΑΛΙΒΕΡΙΟΥ, ΣΤΕΡΕΑΣ ΕΛΛΑΔΑΣ - ΛΑΜΙΕΩΝ, ΣΤΕΡΕΑΣ ΕΛΛΑΔΑΣ - ΛΕΒΑΔΕΩΝ, ΣΤΕΡΕΑΣ ΕΛΛΑΔΑΣ - ΛΟΚΡΩΝ, ΣΤΕΡΕΑΣ ΕΛΛΑΔΑΣ - ΜΑΚΡΑΚΩΜΗΣ, ΣΤΕΡΕΑΣ ΕΛΛΑΔΑΣ - ΜΑΝΤΟΥΔΙΟΥ – ΛΙΜΝΗΣ – ΑΓΙΑΣ ΑΝΝΑΣ, ΣΤΕΡΕΑΣ ΕΛΛΑΔΑΣ - ΜΩΛΟΥ – ΑΓΙΟΥ ΚΩΝΣΤΑΝΤΙΝΟΥ, ΣΤΕΡΕΑΣ ΕΛΛΑΔΑΣ - ΟΡΧΟΜΕΝΟΥ, ΣΤΕΡΕΑΣ ΕΛΛΑΔΑΣ - ΣΤΥΛΙΔΟΣ, ΣΤΕΡΕΑΣ ΕΛΛΑΔΑΣ - ΧΑΛΚΙΔΕΩΝ, </v>
      </c>
    </row>
  </sheetData>
  <sheetProtection algorithmName="SHA-512" hashValue="89CDWx33DPnuS+R32y1IjZGvqebmE2bynWWsbnDJ1ZjOt+nXcW6ExS1t297dApdXN6c93QKFlhxyYIW6BsRaQg==" saltValue="F/57uhvSWnTaN+b623blDg==" spinCount="100000" sheet="1" objects="1" scenarios="1"/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200-000000000000}"/>
    <hyperlink ref="D318" r:id="rId2" tooltip="Δήμος Λοκρών" display="http://www.dimosprofile.gr/media/dimos-lokron/" xr:uid="{00000000-0004-0000-0200-000001000000}"/>
    <hyperlink ref="D315" r:id="rId3" display="http://www.dimosprofile.gr/media/dimos-kymis/" xr:uid="{00000000-0004-0000-0200-000002000000}"/>
    <hyperlink ref="D314" r:id="rId4" tooltip="Δήμος Καρύστου" display="http://www.dimosprofile.gr/media/dimos-karistou/" xr:uid="{00000000-0004-0000-0200-000003000000}"/>
    <hyperlink ref="D311" r:id="rId5" display="http://www.dimosprofile.gr/media/dimos-thivas/" xr:uid="{00000000-0004-0000-0200-000004000000}"/>
    <hyperlink ref="D291" r:id="rId6" tooltip="Δήμος Μονεμβασιάς" display="http://www.dimosprofile.gr/media/dimos-monevasias/" xr:uid="{00000000-0004-0000-0200-000005000000}"/>
    <hyperlink ref="D294" r:id="rId7" display="http://www.dimosprofile.gr/media/dimos-notias-kinoyrias/" xr:uid="{00000000-0004-0000-0200-000006000000}"/>
    <hyperlink ref="D249" r:id="rId8" display="http://www.dimosprofile.gr/media/dimos-iou/" xr:uid="{00000000-0004-0000-0200-000007000000}"/>
    <hyperlink ref="D228" r:id="rId9" display="http://www.dimosprofile.gr/media/dimos-ierapetras/" xr:uid="{00000000-0004-0000-0200-000008000000}"/>
    <hyperlink ref="D190" r:id="rId10" tooltip="Δήμος Έδεσσας" display="http://www.dimosprofile.gr/media/dimos-edessas/" xr:uid="{00000000-0004-0000-0200-000009000000}"/>
    <hyperlink ref="D175" r:id="rId11" display="http://www.dimosprofile.gr/media/dimos-kerkyras/" xr:uid="{00000000-0004-0000-0200-00000A000000}"/>
    <hyperlink ref="D154" r:id="rId12" display="http://www.dimosprofile.gr/media/dimos-mouresiou/" xr:uid="{00000000-0004-0000-0200-00000B000000}"/>
    <hyperlink ref="D144" r:id="rId13" tooltip="Δήμος Πρέβεζας" display="http://www.dimosprofile.gr/media/dimos-prevezas/" xr:uid="{00000000-0004-0000-0200-00000C000000}"/>
    <hyperlink ref="D129" r:id="rId14" display="http://www.dimosprofile.gr/media/dimos-florinas/" xr:uid="{00000000-0004-0000-0200-00000D000000}"/>
    <hyperlink ref="D100" r:id="rId15" display="http://www.dimosprofile.gr/media/dimos-aigialias/" xr:uid="{00000000-0004-0000-0200-00000E000000}"/>
    <hyperlink ref="D113" r:id="rId16" display="http://www.dimosprofile.gr/media/dimos-nafpaktias/" xr:uid="{00000000-0004-0000-0200-00000F000000}"/>
    <hyperlink ref="D91" r:id="rId17" tooltip="Δήμος Ικαρίας" display="http://www.dimosprofile.gr/media/dimos-ikarias/" xr:uid="{00000000-0004-0000-0200-000010000000}"/>
    <hyperlink ref="D81" r:id="rId18" display="http://www.dimosprofile.gr/media/dimos-spetson/" xr:uid="{00000000-0004-0000-0200-000011000000}"/>
    <hyperlink ref="D21" r:id="rId19" tooltip="Δήμος Σαμοθράκης" display="http://www.dimosprofile.gr/media/dimos-samothrakis/" xr:uid="{00000000-0004-0000-0200-000012000000}"/>
  </hyperlinks>
  <pageMargins left="0.7" right="0.7" top="0.75" bottom="0.75" header="0.3" footer="0.3"/>
  <pageSetup paperSize="9" orientation="portrait" r:id="rId2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Lists!$G$3:$G$4</xm:f>
          </x14:formula1>
          <xm:sqref>L2:L326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26"/>
  <sheetViews>
    <sheetView showGridLines="0" topLeftCell="F1" workbookViewId="0">
      <selection activeCell="O2" sqref="O2:O326"/>
    </sheetView>
  </sheetViews>
  <sheetFormatPr defaultColWidth="9.109375" defaultRowHeight="14.4" zeroHeight="1" x14ac:dyDescent="0.3"/>
  <cols>
    <col min="1" max="1" width="9.109375" style="203" customWidth="1"/>
    <col min="2" max="4" width="37.109375" customWidth="1"/>
    <col min="5" max="5" width="65.44140625" customWidth="1"/>
    <col min="6" max="6" width="30" style="201" customWidth="1"/>
    <col min="7" max="7" width="6" style="201" bestFit="1" customWidth="1"/>
    <col min="8" max="8" width="16.109375" customWidth="1"/>
    <col min="9" max="9" width="24" customWidth="1"/>
    <col min="10" max="10" width="26.6640625" customWidth="1"/>
    <col min="11" max="11" width="9.109375" style="203" customWidth="1"/>
    <col min="12" max="12" width="46.44140625" style="81" customWidth="1"/>
    <col min="13" max="13" width="58.33203125" style="81" customWidth="1"/>
    <col min="14" max="14" width="8.44140625" style="81" bestFit="1" customWidth="1"/>
    <col min="15" max="15" width="23.44140625" style="81" customWidth="1"/>
    <col min="16" max="16384" width="9.109375" style="81"/>
  </cols>
  <sheetData>
    <row r="1" spans="1:15" x14ac:dyDescent="0.3">
      <c r="A1" s="204" t="s">
        <v>417</v>
      </c>
      <c r="B1" s="26" t="s">
        <v>415</v>
      </c>
      <c r="C1" s="26" t="s">
        <v>38</v>
      </c>
      <c r="D1" s="26" t="s">
        <v>416</v>
      </c>
      <c r="E1" s="26"/>
      <c r="F1" s="26"/>
      <c r="G1" s="26"/>
      <c r="H1" s="26"/>
      <c r="I1" s="27"/>
      <c r="J1" s="27"/>
      <c r="K1" s="202"/>
      <c r="L1" s="26" t="s">
        <v>415</v>
      </c>
      <c r="M1" s="26" t="s">
        <v>498</v>
      </c>
      <c r="N1" s="26"/>
      <c r="O1" s="26"/>
    </row>
    <row r="2" spans="1:15" x14ac:dyDescent="0.3">
      <c r="A2" s="203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201" t="s">
        <v>581</v>
      </c>
      <c r="G2" s="201">
        <v>13920</v>
      </c>
      <c r="H2" t="str">
        <f>_xlfn.IFNA(INDEX(DimosNaiOxi,MATCH(ΤΚ!E2,DimosNai,0)),"")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203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201">
        <f t="shared" ref="N2:N66" si="4">IF(ISNUMBER(K2),LOOKUP(K2,A:A,G:G),"")</f>
        <v>13920</v>
      </c>
      <c r="O2" s="201" t="str">
        <f>IF(ISNUMBER(K2),LOOKUP(K2,A:A,F:F),"")</f>
        <v>Αβδήρων</v>
      </c>
    </row>
    <row r="3" spans="1:15" x14ac:dyDescent="0.3">
      <c r="A3" s="203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201" t="s">
        <v>582</v>
      </c>
      <c r="G3" s="201">
        <v>13906</v>
      </c>
      <c r="H3" t="str">
        <f>_xlfn.IFNA(INDEX(DimosNaiOxi,MATCH(ΤΚ!E3,DimosNai,0)),"")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203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201">
        <f t="shared" si="4"/>
        <v>13906</v>
      </c>
      <c r="O3" s="201" t="str">
        <f t="shared" ref="O3:O66" si="6">IF(ISNUMBER(K3),LOOKUP(K3,A:A,F:F),"")</f>
        <v>Αλεξανδρούπολης</v>
      </c>
    </row>
    <row r="4" spans="1:15" x14ac:dyDescent="0.3">
      <c r="A4" s="203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201" t="s">
        <v>583</v>
      </c>
      <c r="G4" s="201">
        <v>13910</v>
      </c>
      <c r="H4" t="str">
        <f>_xlfn.IFNA(INDEX(DimosNaiOxi,MATCH(ΤΚ!E4,DimosNai,0)),"")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203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201">
        <f t="shared" si="4"/>
        <v>13910</v>
      </c>
      <c r="O4" s="201" t="str">
        <f t="shared" si="6"/>
        <v>Αρριανών</v>
      </c>
    </row>
    <row r="5" spans="1:15" x14ac:dyDescent="0.3">
      <c r="A5" s="203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201" t="s">
        <v>584</v>
      </c>
      <c r="G5" s="201">
        <v>14058</v>
      </c>
      <c r="H5" t="str">
        <f>_xlfn.IFNA(INDEX(DimosNaiOxi,MATCH(ΤΚ!E5,DimosNai,0)),"")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203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201">
        <f t="shared" si="4"/>
        <v>14058</v>
      </c>
      <c r="O5" s="201" t="str">
        <f t="shared" si="6"/>
        <v>Διδυμοτείχου</v>
      </c>
    </row>
    <row r="6" spans="1:15" x14ac:dyDescent="0.3">
      <c r="A6" s="203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201" t="s">
        <v>585</v>
      </c>
      <c r="G6" s="201">
        <v>14068</v>
      </c>
      <c r="H6" t="str">
        <f>_xlfn.IFNA(INDEX(DimosNaiOxi,MATCH(ΤΚ!E6,DimosNai,0)),"")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203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201">
        <f t="shared" si="4"/>
        <v>14068</v>
      </c>
      <c r="O6" s="201" t="str">
        <f t="shared" si="6"/>
        <v>Δοξάτου</v>
      </c>
    </row>
    <row r="7" spans="1:15" x14ac:dyDescent="0.3">
      <c r="A7" s="203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201" t="s">
        <v>586</v>
      </c>
      <c r="G7" s="201">
        <v>14070</v>
      </c>
      <c r="H7" t="str">
        <f>_xlfn.IFNA(INDEX(DimosNaiOxi,MATCH(ΤΚ!E7,DimosNai,0)),"")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203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201">
        <f t="shared" si="4"/>
        <v>14070</v>
      </c>
      <c r="O7" s="201" t="str">
        <f t="shared" si="6"/>
        <v>Δράμας</v>
      </c>
    </row>
    <row r="8" spans="1:15" x14ac:dyDescent="0.3">
      <c r="A8" s="203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201" t="s">
        <v>587</v>
      </c>
      <c r="G8" s="201">
        <v>14124</v>
      </c>
      <c r="H8" t="str">
        <f>_xlfn.IFNA(INDEX(DimosNaiOxi,MATCH(ΤΚ!E8,DimosNai,0)),"")</f>
        <v/>
      </c>
      <c r="I8" t="str">
        <f>LOOKUP(B8,ΠΕΡΙΦΕΡΕΙΑ!$A$2:$A$14,ΠΕΡΙΦΕΡΕΙΑ!$B$2:$B$14)</f>
        <v>Μερική</v>
      </c>
      <c r="J8" t="str">
        <f t="shared" si="5"/>
        <v/>
      </c>
      <c r="K8" s="203">
        <f t="shared" si="1"/>
        <v>8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ΙΑΣΜΟΥ</v>
      </c>
      <c r="N8" s="201">
        <f t="shared" si="4"/>
        <v>14140</v>
      </c>
      <c r="O8" s="201" t="str">
        <f t="shared" si="6"/>
        <v>Ιάσμου</v>
      </c>
    </row>
    <row r="9" spans="1:15" x14ac:dyDescent="0.3">
      <c r="A9" s="203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201" t="s">
        <v>588</v>
      </c>
      <c r="G9" s="201">
        <v>14140</v>
      </c>
      <c r="H9" t="str">
        <f>_xlfn.IFNA(INDEX(DimosNaiOxi,MATCH(ΤΚ!E9,DimosNai,0)),"")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203">
        <f t="shared" si="1"/>
        <v>9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ΚΑΒΑΛΑΣ</v>
      </c>
      <c r="N9" s="201">
        <f t="shared" si="4"/>
        <v>14156</v>
      </c>
      <c r="O9" s="201" t="str">
        <f t="shared" si="6"/>
        <v>Καβάλας</v>
      </c>
    </row>
    <row r="10" spans="1:15" x14ac:dyDescent="0.3">
      <c r="A10" s="203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201" t="s">
        <v>589</v>
      </c>
      <c r="G10" s="201">
        <v>14156</v>
      </c>
      <c r="H10" t="str">
        <f>_xlfn.IFNA(INDEX(DimosNaiOxi,MATCH(ΤΚ!E10,DimosNai,0)),"")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203">
        <f t="shared" si="1"/>
        <v>10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ΚΑΤΩ ΝΕΥΡΟΚΟΠΙΟΥ</v>
      </c>
      <c r="N10" s="201">
        <f t="shared" si="4"/>
        <v>14202</v>
      </c>
      <c r="O10" s="201" t="str">
        <f t="shared" si="6"/>
        <v>Κάτω Νευροκοπίου</v>
      </c>
    </row>
    <row r="11" spans="1:15" x14ac:dyDescent="0.3">
      <c r="A11" s="203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201" t="s">
        <v>590</v>
      </c>
      <c r="G11" s="201">
        <v>14202</v>
      </c>
      <c r="H11" t="str">
        <f>_xlfn.IFNA(INDEX(DimosNaiOxi,MATCH(ΤΚ!E11,DimosNai,0)),"")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203">
        <f t="shared" si="1"/>
        <v>11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ΚΟΜΟΤΗΝΗΣ</v>
      </c>
      <c r="N11" s="201">
        <f t="shared" si="4"/>
        <v>14220</v>
      </c>
      <c r="O11" s="201" t="str">
        <f t="shared" si="6"/>
        <v>Κομοτηνής</v>
      </c>
    </row>
    <row r="12" spans="1:15" x14ac:dyDescent="0.3">
      <c r="A12" s="203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201" t="s">
        <v>591</v>
      </c>
      <c r="G12" s="201">
        <v>14220</v>
      </c>
      <c r="H12" t="str">
        <f>_xlfn.IFNA(INDEX(DimosNaiOxi,MATCH(ΤΚ!E12,DimosNai,0)),"")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203">
        <f t="shared" si="1"/>
        <v>12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ΜΑΡΩΝΕΙΑΣ – ΣΑΠΩΝ</v>
      </c>
      <c r="N12" s="201">
        <f t="shared" si="4"/>
        <v>14280</v>
      </c>
      <c r="O12" s="201" t="str">
        <f t="shared" si="6"/>
        <v>Μαρωνείας - Σαπών</v>
      </c>
    </row>
    <row r="13" spans="1:15" x14ac:dyDescent="0.3">
      <c r="A13" s="203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201" t="s">
        <v>592</v>
      </c>
      <c r="G13" s="201">
        <v>14280</v>
      </c>
      <c r="H13" t="str">
        <f>_xlfn.IFNA(INDEX(DimosNaiOxi,MATCH(ΤΚ!E13,DimosNai,0)),"")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203">
        <f t="shared" si="1"/>
        <v>13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ΜΥΚΗΣ</v>
      </c>
      <c r="N13" s="201">
        <f t="shared" si="4"/>
        <v>14304</v>
      </c>
      <c r="O13" s="201" t="str">
        <f t="shared" si="6"/>
        <v>Μύκης</v>
      </c>
    </row>
    <row r="14" spans="1:15" x14ac:dyDescent="0.3">
      <c r="A14" s="203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201" t="s">
        <v>593</v>
      </c>
      <c r="G14" s="201">
        <v>14304</v>
      </c>
      <c r="H14" t="str">
        <f>_xlfn.IFNA(INDEX(DimosNaiOxi,MATCH(ΤΚ!E14,DimosNai,0)),"")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203">
        <f t="shared" si="1"/>
        <v>14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ΝΕΣΤΟΥ</v>
      </c>
      <c r="N14" s="201">
        <f t="shared" si="4"/>
        <v>14336</v>
      </c>
      <c r="O14" s="201" t="str">
        <f t="shared" si="6"/>
        <v>Νέστου</v>
      </c>
    </row>
    <row r="15" spans="1:15" x14ac:dyDescent="0.3">
      <c r="A15" s="203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201" t="s">
        <v>594</v>
      </c>
      <c r="G15" s="201">
        <v>14336</v>
      </c>
      <c r="H15" t="str">
        <f>_xlfn.IFNA(INDEX(DimosNaiOxi,MATCH(ΤΚ!E15,DimosNai,0)),"")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203">
        <f t="shared" si="1"/>
        <v>15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ΞΑΝΘΗΣ</v>
      </c>
      <c r="N15" s="201">
        <f t="shared" si="4"/>
        <v>14330</v>
      </c>
      <c r="O15" s="201" t="str">
        <f t="shared" si="6"/>
        <v>Ξάνθης</v>
      </c>
    </row>
    <row r="16" spans="1:15" x14ac:dyDescent="0.3">
      <c r="A16" s="203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201" t="s">
        <v>595</v>
      </c>
      <c r="G16" s="201">
        <v>14330</v>
      </c>
      <c r="H16" t="str">
        <f>_xlfn.IFNA(INDEX(DimosNaiOxi,MATCH(ΤΚ!E16,DimosNai,0)),"")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203">
        <f t="shared" si="1"/>
        <v>16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ΟΡΕΣΤΙΑΔΑΣ</v>
      </c>
      <c r="N16" s="201">
        <f t="shared" si="4"/>
        <v>14352</v>
      </c>
      <c r="O16" s="201" t="str">
        <f t="shared" si="6"/>
        <v>Ορεστιάδας</v>
      </c>
    </row>
    <row r="17" spans="1:15" x14ac:dyDescent="0.3">
      <c r="A17" s="203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201" t="s">
        <v>596</v>
      </c>
      <c r="G17" s="201">
        <v>14352</v>
      </c>
      <c r="H17" t="str">
        <f>_xlfn.IFNA(INDEX(DimosNaiOxi,MATCH(ΤΚ!E17,DimosNai,0)),"")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203">
        <f t="shared" si="1"/>
        <v>17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ΠΑΓΓΑΙΟΥ</v>
      </c>
      <c r="N17" s="201">
        <f t="shared" si="4"/>
        <v>14360</v>
      </c>
      <c r="O17" s="201" t="str">
        <f t="shared" si="6"/>
        <v>Παγγαίου</v>
      </c>
    </row>
    <row r="18" spans="1:15" x14ac:dyDescent="0.3">
      <c r="A18" s="203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201" t="s">
        <v>597</v>
      </c>
      <c r="G18" s="201">
        <v>14360</v>
      </c>
      <c r="H18" t="str">
        <f>_xlfn.IFNA(INDEX(DimosNaiOxi,MATCH(ΤΚ!E18,DimosNai,0)),"")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203">
        <f t="shared" si="1"/>
        <v>19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ΠΡΟΣΟΤΣΑΝΗΣ</v>
      </c>
      <c r="N18" s="201">
        <f t="shared" si="4"/>
        <v>14420</v>
      </c>
      <c r="O18" s="201" t="str">
        <f t="shared" si="6"/>
        <v>Προσοτσάνης</v>
      </c>
    </row>
    <row r="19" spans="1:15" x14ac:dyDescent="0.3">
      <c r="A19" s="203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201" t="s">
        <v>598</v>
      </c>
      <c r="G19" s="201">
        <v>14396</v>
      </c>
      <c r="H19" t="str">
        <f>_xlfn.IFNA(INDEX(DimosNaiOxi,MATCH(ΤΚ!E19,DimosNai,0)),"")</f>
        <v/>
      </c>
      <c r="I19" t="str">
        <f>LOOKUP(B19,ΠΕΡΙΦΕΡΕΙΑ!$A$2:$A$14,ΠΕΡΙΦΕΡΕΙΑ!$B$2:$B$14)</f>
        <v>Μερική</v>
      </c>
      <c r="J19" t="str">
        <f t="shared" si="5"/>
        <v/>
      </c>
      <c r="K19" s="203">
        <f t="shared" si="1"/>
        <v>20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ΣΑΜΟΘΡΑΚΗΣ</v>
      </c>
      <c r="N19" s="201">
        <f t="shared" si="4"/>
        <v>14432</v>
      </c>
      <c r="O19" s="201" t="str">
        <f t="shared" si="6"/>
        <v>Σαμοθράκης</v>
      </c>
    </row>
    <row r="20" spans="1:15" x14ac:dyDescent="0.3">
      <c r="A20" s="203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201" t="s">
        <v>599</v>
      </c>
      <c r="G20" s="201">
        <v>14420</v>
      </c>
      <c r="H20" t="str">
        <f>_xlfn.IFNA(INDEX(DimosNaiOxi,MATCH(ΤΚ!E20,DimosNai,0)),"")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203">
        <f t="shared" si="1"/>
        <v>21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ΣΟΥΦΛΙΟΥ</v>
      </c>
      <c r="N20" s="201">
        <f t="shared" si="4"/>
        <v>14470</v>
      </c>
      <c r="O20" s="201" t="str">
        <f t="shared" si="6"/>
        <v>Σουφλίου</v>
      </c>
    </row>
    <row r="21" spans="1:15" x14ac:dyDescent="0.3">
      <c r="A21" s="203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201" t="s">
        <v>600</v>
      </c>
      <c r="G21" s="201">
        <v>14432</v>
      </c>
      <c r="H21" t="str">
        <f>_xlfn.IFNA(INDEX(DimosNaiOxi,MATCH(ΤΚ!E21,DimosNai,0)),"")</f>
        <v>ΝΑΙ</v>
      </c>
      <c r="I21" t="str">
        <f>LOOKUP(B21,ΠΕΡΙΦΕΡΕΙΑ!$A$2:$A$14,ΠΕΡΙΦΕΡΕΙΑ!$B$2:$B$14)</f>
        <v>Μερική</v>
      </c>
      <c r="J21">
        <f t="shared" si="5"/>
        <v>20</v>
      </c>
      <c r="K21" s="203">
        <f t="shared" si="1"/>
        <v>22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ΤΟΠΕΙΡΟΥ</v>
      </c>
      <c r="N21" s="201">
        <f t="shared" si="4"/>
        <v>14492</v>
      </c>
      <c r="O21" s="201" t="str">
        <f t="shared" si="6"/>
        <v>Τοπείρου</v>
      </c>
    </row>
    <row r="22" spans="1:15" x14ac:dyDescent="0.3">
      <c r="A22" s="203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201" t="s">
        <v>601</v>
      </c>
      <c r="G22" s="201">
        <v>14470</v>
      </c>
      <c r="H22" t="str">
        <f>_xlfn.IFNA(INDEX(DimosNaiOxi,MATCH(ΤΚ!E22,DimosNai,0)),"")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203">
        <f t="shared" si="1"/>
        <v>23</v>
      </c>
      <c r="L22" t="str">
        <f t="shared" si="2"/>
        <v>ΑΤΤΙΚΗΣ</v>
      </c>
      <c r="M22" t="str">
        <f t="shared" si="3"/>
        <v>ΑΤΤΙΚΗΣ - ΑΓΙΑΣ ΒΑΡΒΑΡΑΣ</v>
      </c>
      <c r="N22" s="201">
        <f t="shared" si="4"/>
        <v>13922</v>
      </c>
      <c r="O22" s="201" t="str">
        <f t="shared" si="6"/>
        <v>Αγίας Βαρβάρας</v>
      </c>
    </row>
    <row r="23" spans="1:15" x14ac:dyDescent="0.3">
      <c r="A23" s="203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201" t="s">
        <v>602</v>
      </c>
      <c r="G23" s="201">
        <v>14492</v>
      </c>
      <c r="H23" t="str">
        <f>_xlfn.IFNA(INDEX(DimosNaiOxi,MATCH(ΤΚ!E23,DimosNai,0)),"")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203">
        <f t="shared" si="1"/>
        <v>24</v>
      </c>
      <c r="L23" t="str">
        <f t="shared" si="2"/>
        <v>ΑΤΤΙΚΗΣ</v>
      </c>
      <c r="M23" t="str">
        <f t="shared" si="3"/>
        <v>ΑΤΤΙΚΗΣ - ΑΓΙΑΣ ΠΑΡΑΣΚΕΥΗΣ</v>
      </c>
      <c r="N23" s="201">
        <f t="shared" si="4"/>
        <v>13924</v>
      </c>
      <c r="O23" s="201" t="str">
        <f t="shared" si="6"/>
        <v>Αγίας Παρασκευής</v>
      </c>
    </row>
    <row r="24" spans="1:15" x14ac:dyDescent="0.3">
      <c r="A24" s="203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201" t="s">
        <v>603</v>
      </c>
      <c r="G24" s="201">
        <v>13922</v>
      </c>
      <c r="H24" t="str">
        <f>_xlfn.IFNA(INDEX(DimosNaiOxi,MATCH(ΤΚ!E24,DimosNai,0)),"")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203">
        <f t="shared" si="1"/>
        <v>25</v>
      </c>
      <c r="L24" t="str">
        <f t="shared" si="2"/>
        <v>ΑΤΤΙΚΗΣ</v>
      </c>
      <c r="M24" t="str">
        <f t="shared" si="3"/>
        <v>ΑΤΤΙΚΗΣ - ΑΓΙΟΥ ΔΗΜΗΤΡΙΟΥ</v>
      </c>
      <c r="N24" s="201">
        <f t="shared" si="4"/>
        <v>13926</v>
      </c>
      <c r="O24" s="201" t="str">
        <f t="shared" si="6"/>
        <v>Αγίου Δημητρίου</v>
      </c>
    </row>
    <row r="25" spans="1:15" x14ac:dyDescent="0.3">
      <c r="A25" s="203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201" t="s">
        <v>604</v>
      </c>
      <c r="G25" s="201">
        <v>13924</v>
      </c>
      <c r="H25" t="str">
        <f>_xlfn.IFNA(INDEX(DimosNaiOxi,MATCH(ΤΚ!E25,DimosNai,0)),"")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203">
        <f t="shared" si="1"/>
        <v>26</v>
      </c>
      <c r="L25" t="str">
        <f t="shared" si="2"/>
        <v>ΑΤΤΙΚΗΣ</v>
      </c>
      <c r="M25" t="str">
        <f t="shared" si="3"/>
        <v>ΑΤΤΙΚΗΣ - ΑΓΙΩΝ ΑΝΑΡΓΥΡΩΝ – ΚΑΜΑΤΕΡΟΥ</v>
      </c>
      <c r="N25" s="201">
        <f t="shared" si="4"/>
        <v>13932</v>
      </c>
      <c r="O25" s="201" t="str">
        <f t="shared" si="6"/>
        <v>Αγίων Αναργύρων - Καματερού</v>
      </c>
    </row>
    <row r="26" spans="1:15" x14ac:dyDescent="0.3">
      <c r="A26" s="203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201" t="s">
        <v>605</v>
      </c>
      <c r="G26" s="201">
        <v>13926</v>
      </c>
      <c r="H26" t="str">
        <f>_xlfn.IFNA(INDEX(DimosNaiOxi,MATCH(ΤΚ!E26,DimosNai,0)),"")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203">
        <f t="shared" si="1"/>
        <v>28</v>
      </c>
      <c r="L26" t="str">
        <f t="shared" si="2"/>
        <v>ΑΤΤΙΚΗΣ</v>
      </c>
      <c r="M26" t="str">
        <f t="shared" si="3"/>
        <v>ΑΤΤΙΚΗΣ - ΑΘΗΝΑΙΩΝ</v>
      </c>
      <c r="N26" s="201">
        <f t="shared" si="4"/>
        <v>13944</v>
      </c>
      <c r="O26" s="201" t="str">
        <f t="shared" si="6"/>
        <v>Αθηναίων</v>
      </c>
    </row>
    <row r="27" spans="1:15" x14ac:dyDescent="0.3">
      <c r="A27" s="203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201" t="s">
        <v>606</v>
      </c>
      <c r="G27" s="201">
        <v>13932</v>
      </c>
      <c r="H27" t="str">
        <f>_xlfn.IFNA(INDEX(DimosNaiOxi,MATCH(ΤΚ!E27,DimosNai,0)),"")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203">
        <f t="shared" si="1"/>
        <v>29</v>
      </c>
      <c r="L27" t="str">
        <f t="shared" si="2"/>
        <v>ΑΤΤΙΚΗΣ</v>
      </c>
      <c r="M27" t="str">
        <f t="shared" si="3"/>
        <v>ΑΤΤΙΚΗΣ - ΑΙΓΑΛΕΩ</v>
      </c>
      <c r="N27" s="201">
        <f t="shared" si="4"/>
        <v>13946</v>
      </c>
      <c r="O27" s="201" t="str">
        <f t="shared" si="6"/>
        <v>Αιγάλεω</v>
      </c>
    </row>
    <row r="28" spans="1:15" x14ac:dyDescent="0.3">
      <c r="A28" s="203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201" t="s">
        <v>607</v>
      </c>
      <c r="G28" s="201">
        <v>13934</v>
      </c>
      <c r="H28" t="str">
        <f>_xlfn.IFNA(INDEX(DimosNaiOxi,MATCH(ΤΚ!E28,DimosNai,0)),"")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203">
        <f t="shared" si="1"/>
        <v>30</v>
      </c>
      <c r="L28" t="str">
        <f t="shared" si="2"/>
        <v>ΑΤΤΙΚΗΣ</v>
      </c>
      <c r="M28" t="str">
        <f t="shared" si="3"/>
        <v>ΑΤΤΙΚΗΣ - ΑΙΓΙΝΑΣ</v>
      </c>
      <c r="N28" s="201">
        <f t="shared" si="4"/>
        <v>13948</v>
      </c>
      <c r="O28" s="201" t="str">
        <f t="shared" si="6"/>
        <v>Αίγινας</v>
      </c>
    </row>
    <row r="29" spans="1:15" x14ac:dyDescent="0.3">
      <c r="A29" s="203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201" t="s">
        <v>608</v>
      </c>
      <c r="G29" s="201">
        <v>13944</v>
      </c>
      <c r="H29" t="str">
        <f>_xlfn.IFNA(INDEX(DimosNaiOxi,MATCH(ΤΚ!E29,DimosNai,0)),"")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203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201">
        <f t="shared" si="4"/>
        <v>13956</v>
      </c>
      <c r="O29" s="201" t="str">
        <f t="shared" si="6"/>
        <v>Αλίμου</v>
      </c>
    </row>
    <row r="30" spans="1:15" x14ac:dyDescent="0.3">
      <c r="A30" s="203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201" t="s">
        <v>609</v>
      </c>
      <c r="G30" s="201">
        <v>13946</v>
      </c>
      <c r="H30" t="str">
        <f>_xlfn.IFNA(INDEX(DimosNaiOxi,MATCH(ΤΚ!E30,DimosNai,0)),"")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203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201">
        <f t="shared" si="4"/>
        <v>13964</v>
      </c>
      <c r="O30" s="201" t="str">
        <f t="shared" si="6"/>
        <v>Αμαρουσίου</v>
      </c>
    </row>
    <row r="31" spans="1:15" x14ac:dyDescent="0.3">
      <c r="A31" s="203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201" t="s">
        <v>610</v>
      </c>
      <c r="G31" s="201">
        <v>13948</v>
      </c>
      <c r="H31" t="str">
        <f>_xlfn.IFNA(INDEX(DimosNaiOxi,MATCH(ΤΚ!E31,DimosNai,0)),"")</f>
        <v>ΝΑΙ</v>
      </c>
      <c r="I31" t="str">
        <f>LOOKUP(B31,ΠΕΡΙΦΕΡΕΙΑ!$A$2:$A$14,ΠΕΡΙΦΕΡΕΙΑ!$B$2:$B$14)</f>
        <v>Μερική</v>
      </c>
      <c r="J31">
        <f t="shared" si="5"/>
        <v>30</v>
      </c>
      <c r="K31" s="203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201">
        <f t="shared" si="4"/>
        <v>14004</v>
      </c>
      <c r="O31" s="201" t="str">
        <f t="shared" si="6"/>
        <v>Ασπροπύργου</v>
      </c>
    </row>
    <row r="32" spans="1:15" x14ac:dyDescent="0.3">
      <c r="A32" s="203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201" t="s">
        <v>611</v>
      </c>
      <c r="G32" s="201">
        <v>13956</v>
      </c>
      <c r="H32" t="str">
        <f>_xlfn.IFNA(INDEX(DimosNaiOxi,MATCH(ΤΚ!E32,DimosNai,0)),"")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203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201">
        <f t="shared" si="4"/>
        <v>14008</v>
      </c>
      <c r="O32" s="201" t="str">
        <f t="shared" si="6"/>
        <v>Αχαρνών</v>
      </c>
    </row>
    <row r="33" spans="1:15" x14ac:dyDescent="0.3">
      <c r="A33" s="203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201" t="s">
        <v>612</v>
      </c>
      <c r="G33" s="201">
        <v>13964</v>
      </c>
      <c r="H33" t="str">
        <f>_xlfn.IFNA(INDEX(DimosNaiOxi,MATCH(ΤΚ!E33,DimosNai,0)),"")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203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201">
        <f t="shared" si="4"/>
        <v>14010</v>
      </c>
      <c r="O33" s="201" t="str">
        <f t="shared" si="6"/>
        <v>Βάρης - Βούλας - Βουλιαγμένης</v>
      </c>
    </row>
    <row r="34" spans="1:15" x14ac:dyDescent="0.3">
      <c r="A34" s="203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201" t="s">
        <v>613</v>
      </c>
      <c r="G34" s="201">
        <v>14004</v>
      </c>
      <c r="H34" t="str">
        <f>_xlfn.IFNA(INDEX(DimosNaiOxi,MATCH(ΤΚ!E34,DimosNai,0)),"")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203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201">
        <f t="shared" si="4"/>
        <v>14024</v>
      </c>
      <c r="O34" s="201" t="str">
        <f t="shared" si="6"/>
        <v>Βριλησσίων</v>
      </c>
    </row>
    <row r="35" spans="1:15" x14ac:dyDescent="0.3">
      <c r="A35" s="203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201" t="s">
        <v>614</v>
      </c>
      <c r="G35" s="201">
        <v>14008</v>
      </c>
      <c r="H35" t="str">
        <f>_xlfn.IFNA(INDEX(DimosNaiOxi,MATCH(ΤΚ!E35,DimosNai,0)),"")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203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201">
        <f t="shared" si="4"/>
        <v>14032</v>
      </c>
      <c r="O35" s="201" t="str">
        <f t="shared" si="6"/>
        <v>Βύρωνος</v>
      </c>
    </row>
    <row r="36" spans="1:15" x14ac:dyDescent="0.3">
      <c r="A36" s="203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201" t="s">
        <v>615</v>
      </c>
      <c r="G36" s="201">
        <v>14010</v>
      </c>
      <c r="H36" t="str">
        <f>_xlfn.IFNA(INDEX(DimosNaiOxi,MATCH(ΤΚ!E36,DimosNai,0)),"")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203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201">
        <f t="shared" si="4"/>
        <v>14036</v>
      </c>
      <c r="O36" s="201" t="str">
        <f t="shared" si="6"/>
        <v>Γαλατσίου</v>
      </c>
    </row>
    <row r="37" spans="1:15" x14ac:dyDescent="0.3">
      <c r="A37" s="203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201" t="s">
        <v>616</v>
      </c>
      <c r="G37" s="201">
        <v>14024</v>
      </c>
      <c r="H37" t="str">
        <f>_xlfn.IFNA(INDEX(DimosNaiOxi,MATCH(ΤΚ!E37,DimosNai,0)),"")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203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201">
        <f t="shared" si="4"/>
        <v>14040</v>
      </c>
      <c r="O37" s="201" t="str">
        <f t="shared" si="6"/>
        <v>Γλυφάδας</v>
      </c>
    </row>
    <row r="38" spans="1:15" x14ac:dyDescent="0.3">
      <c r="A38" s="203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201" t="s">
        <v>617</v>
      </c>
      <c r="G38" s="201">
        <v>14032</v>
      </c>
      <c r="H38" t="str">
        <f>_xlfn.IFNA(INDEX(DimosNaiOxi,MATCH(ΤΚ!E38,DimosNai,0)),"")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203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201">
        <f t="shared" si="4"/>
        <v>14048</v>
      </c>
      <c r="O38" s="201" t="str">
        <f t="shared" si="6"/>
        <v>Δάφνης - Υμηττού</v>
      </c>
    </row>
    <row r="39" spans="1:15" x14ac:dyDescent="0.3">
      <c r="A39" s="203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201" t="s">
        <v>618</v>
      </c>
      <c r="G39" s="201">
        <v>14036</v>
      </c>
      <c r="H39" t="str">
        <f>_xlfn.IFNA(INDEX(DimosNaiOxi,MATCH(ΤΚ!E39,DimosNai,0)),"")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203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201">
        <f t="shared" si="4"/>
        <v>14060</v>
      </c>
      <c r="O39" s="201" t="str">
        <f t="shared" si="6"/>
        <v>Διονύσου</v>
      </c>
    </row>
    <row r="40" spans="1:15" x14ac:dyDescent="0.3">
      <c r="A40" s="203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201" t="s">
        <v>619</v>
      </c>
      <c r="G40" s="201">
        <v>14040</v>
      </c>
      <c r="H40" t="str">
        <f>_xlfn.IFNA(INDEX(DimosNaiOxi,MATCH(ΤΚ!E40,DimosNai,0)),"")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203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201">
        <f t="shared" si="4"/>
        <v>14084</v>
      </c>
      <c r="O40" s="201" t="str">
        <f t="shared" si="6"/>
        <v>Ελευσίνας</v>
      </c>
    </row>
    <row r="41" spans="1:15" x14ac:dyDescent="0.3">
      <c r="A41" s="203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201" t="s">
        <v>620</v>
      </c>
      <c r="G41" s="201">
        <v>14048</v>
      </c>
      <c r="H41" t="str">
        <f>_xlfn.IFNA(INDEX(DimosNaiOxi,MATCH(ΤΚ!E41,DimosNai,0)),"")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203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201">
        <f t="shared" si="4"/>
        <v>14086</v>
      </c>
      <c r="O41" s="201" t="str">
        <f t="shared" si="6"/>
        <v>Ελληνικού - Αργυρούπολης</v>
      </c>
    </row>
    <row r="42" spans="1:15" x14ac:dyDescent="0.3">
      <c r="A42" s="203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201" t="s">
        <v>621</v>
      </c>
      <c r="G42" s="201">
        <v>14060</v>
      </c>
      <c r="H42" t="str">
        <f>_xlfn.IFNA(INDEX(DimosNaiOxi,MATCH(ΤΚ!E42,DimosNai,0)),"")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203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201">
        <f t="shared" si="4"/>
        <v>14116</v>
      </c>
      <c r="O42" s="201" t="str">
        <f t="shared" si="6"/>
        <v>Ζωγράφου</v>
      </c>
    </row>
    <row r="43" spans="1:15" x14ac:dyDescent="0.3">
      <c r="A43" s="203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201" t="s">
        <v>622</v>
      </c>
      <c r="G43" s="201">
        <v>14084</v>
      </c>
      <c r="H43" t="str">
        <f>_xlfn.IFNA(INDEX(DimosNaiOxi,MATCH(ΤΚ!E43,DimosNai,0)),"")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203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201">
        <f t="shared" si="4"/>
        <v>14120</v>
      </c>
      <c r="O43" s="201" t="str">
        <f t="shared" si="6"/>
        <v>Ηλιούπολης</v>
      </c>
    </row>
    <row r="44" spans="1:15" x14ac:dyDescent="0.3">
      <c r="A44" s="203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201" t="s">
        <v>623</v>
      </c>
      <c r="G44" s="201">
        <v>14086</v>
      </c>
      <c r="H44" t="str">
        <f>_xlfn.IFNA(INDEX(DimosNaiOxi,MATCH(ΤΚ!E44,DimosNai,0)),"")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203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201">
        <f t="shared" si="4"/>
        <v>0</v>
      </c>
      <c r="O44" s="201">
        <f t="shared" si="6"/>
        <v>0</v>
      </c>
    </row>
    <row r="45" spans="1:15" x14ac:dyDescent="0.3">
      <c r="A45" s="203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201" t="s">
        <v>624</v>
      </c>
      <c r="G45" s="201">
        <v>14116</v>
      </c>
      <c r="H45" t="str">
        <f>_xlfn.IFNA(INDEX(DimosNaiOxi,MATCH(ΤΚ!E45,DimosNai,0)),"")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203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201">
        <f t="shared" si="4"/>
        <v>14150</v>
      </c>
      <c r="O45" s="201" t="str">
        <f t="shared" si="6"/>
        <v>Ιλίου</v>
      </c>
    </row>
    <row r="46" spans="1:15" x14ac:dyDescent="0.3">
      <c r="A46" s="203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201" t="s">
        <v>625</v>
      </c>
      <c r="G46" s="201">
        <v>14120</v>
      </c>
      <c r="H46" t="str">
        <f>_xlfn.IFNA(INDEX(DimosNaiOxi,MATCH(ΤΚ!E46,DimosNai,0)),"")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203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201">
        <f t="shared" si="4"/>
        <v>14158</v>
      </c>
      <c r="O46" s="201" t="str">
        <f t="shared" si="6"/>
        <v>Καισαριανής</v>
      </c>
    </row>
    <row r="47" spans="1:15" x14ac:dyDescent="0.3">
      <c r="A47" s="203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H47" t="str">
        <f>_xlfn.IFNA(INDEX(DimosNaiOxi,MATCH(ΤΚ!E47,DimosNai,0)),"")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203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201">
        <f t="shared" si="4"/>
        <v>14180</v>
      </c>
      <c r="O47" s="201" t="str">
        <f t="shared" si="6"/>
        <v>Καλλιθέας</v>
      </c>
    </row>
    <row r="48" spans="1:15" x14ac:dyDescent="0.3">
      <c r="A48" s="203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201" t="s">
        <v>626</v>
      </c>
      <c r="G48" s="201">
        <v>14150</v>
      </c>
      <c r="H48" t="str">
        <f>_xlfn.IFNA(INDEX(DimosNaiOxi,MATCH(ΤΚ!E48,DimosNai,0)),"")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203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201">
        <f t="shared" si="4"/>
        <v>14164</v>
      </c>
      <c r="O48" s="201" t="str">
        <f t="shared" si="6"/>
        <v>Κερατσινίου - Δραπετσώνας</v>
      </c>
    </row>
    <row r="49" spans="1:15" x14ac:dyDescent="0.3">
      <c r="A49" s="203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201" t="s">
        <v>627</v>
      </c>
      <c r="G49" s="201">
        <v>14158</v>
      </c>
      <c r="H49" t="str">
        <f>_xlfn.IFNA(INDEX(DimosNaiOxi,MATCH(ΤΚ!E49,DimosNai,0)),"")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203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201">
        <f t="shared" si="4"/>
        <v>14166</v>
      </c>
      <c r="O49" s="201" t="str">
        <f t="shared" si="6"/>
        <v>Κηφισιάς</v>
      </c>
    </row>
    <row r="50" spans="1:15" x14ac:dyDescent="0.3">
      <c r="A50" s="203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201" t="s">
        <v>628</v>
      </c>
      <c r="G50" s="201">
        <v>14180</v>
      </c>
      <c r="H50" t="str">
        <f>_xlfn.IFNA(INDEX(DimosNaiOxi,MATCH(ΤΚ!E50,DimosNai,0)),"")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203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201">
        <f t="shared" si="4"/>
        <v>14226</v>
      </c>
      <c r="O50" s="201" t="str">
        <f t="shared" si="6"/>
        <v>Κορυδαλλού</v>
      </c>
    </row>
    <row r="51" spans="1:15" x14ac:dyDescent="0.3">
      <c r="A51" s="203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201" t="s">
        <v>629</v>
      </c>
      <c r="G51" s="201">
        <v>14164</v>
      </c>
      <c r="H51" t="str">
        <f>_xlfn.IFNA(INDEX(DimosNaiOxi,MATCH(ΤΚ!E51,DimosNai,0)),"")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203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201">
        <f t="shared" si="4"/>
        <v>14228</v>
      </c>
      <c r="O51" s="201" t="str">
        <f t="shared" si="6"/>
        <v>Κρωπίας</v>
      </c>
    </row>
    <row r="52" spans="1:15" x14ac:dyDescent="0.3">
      <c r="A52" s="203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201" t="s">
        <v>630</v>
      </c>
      <c r="G52" s="201">
        <v>14166</v>
      </c>
      <c r="H52" t="str">
        <f>_xlfn.IFNA(INDEX(DimosNaiOxi,MATCH(ΤΚ!E52,DimosNai,0)),"")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203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201">
        <f t="shared" si="4"/>
        <v>14248</v>
      </c>
      <c r="O52" s="201" t="str">
        <f t="shared" si="6"/>
        <v>Λαυρεωτικής</v>
      </c>
    </row>
    <row r="53" spans="1:15" x14ac:dyDescent="0.3">
      <c r="A53" s="203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201" t="s">
        <v>631</v>
      </c>
      <c r="G53" s="201">
        <v>14226</v>
      </c>
      <c r="H53" t="str">
        <f>_xlfn.IFNA(INDEX(DimosNaiOxi,MATCH(ΤΚ!E53,DimosNai,0)),"")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203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201">
        <f t="shared" si="4"/>
        <v>14260</v>
      </c>
      <c r="O53" s="201" t="str">
        <f t="shared" si="6"/>
        <v>Λυκόβρυσης - Πεύκης</v>
      </c>
    </row>
    <row r="54" spans="1:15" x14ac:dyDescent="0.3">
      <c r="A54" s="203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201" t="s">
        <v>632</v>
      </c>
      <c r="G54" s="201">
        <v>14228</v>
      </c>
      <c r="H54" t="str">
        <f>_xlfn.IFNA(INDEX(DimosNaiOxi,MATCH(ΤΚ!E54,DimosNai,0)),"")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203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201">
        <f t="shared" si="4"/>
        <v>14274</v>
      </c>
      <c r="O54" s="201" t="str">
        <f t="shared" si="6"/>
        <v>Μάνδρας - Ειδυλλίας</v>
      </c>
    </row>
    <row r="55" spans="1:15" x14ac:dyDescent="0.3">
      <c r="A55" s="203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201" t="s">
        <v>633</v>
      </c>
      <c r="G55" s="201">
        <v>14230</v>
      </c>
      <c r="H55" t="str">
        <f>_xlfn.IFNA(INDEX(DimosNaiOxi,MATCH(ΤΚ!E55,DimosNai,0)),"")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203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201">
        <f t="shared" si="4"/>
        <v>14266</v>
      </c>
      <c r="O55" s="201" t="str">
        <f t="shared" si="6"/>
        <v>Μαραθώνος</v>
      </c>
    </row>
    <row r="56" spans="1:15" x14ac:dyDescent="0.3">
      <c r="A56" s="203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201" t="s">
        <v>634</v>
      </c>
      <c r="G56" s="201">
        <v>14248</v>
      </c>
      <c r="H56" t="str">
        <f>_xlfn.IFNA(INDEX(DimosNaiOxi,MATCH(ΤΚ!E56,DimosNai,0)),"")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203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201">
        <f t="shared" si="4"/>
        <v>14278</v>
      </c>
      <c r="O56" s="201" t="str">
        <f t="shared" si="6"/>
        <v>Μαρκοπούλου Μεσογαίας</v>
      </c>
    </row>
    <row r="57" spans="1:15" x14ac:dyDescent="0.3">
      <c r="A57" s="203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201" t="s">
        <v>635</v>
      </c>
      <c r="G57" s="201">
        <v>14260</v>
      </c>
      <c r="H57" t="str">
        <f>_xlfn.IFNA(INDEX(DimosNaiOxi,MATCH(ΤΚ!E57,DimosNai,0)),"")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203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201">
        <f t="shared" si="4"/>
        <v>14288</v>
      </c>
      <c r="O57" s="201" t="str">
        <f t="shared" si="6"/>
        <v>Μεγαρέων</v>
      </c>
    </row>
    <row r="58" spans="1:15" x14ac:dyDescent="0.3">
      <c r="A58" s="203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201" t="s">
        <v>636</v>
      </c>
      <c r="G58" s="201">
        <v>14274</v>
      </c>
      <c r="H58" t="str">
        <f>_xlfn.IFNA(INDEX(DimosNaiOxi,MATCH(ΤΚ!E58,DimosNai,0)),"")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203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201">
        <f t="shared" si="4"/>
        <v>14286</v>
      </c>
      <c r="O58" s="201" t="str">
        <f t="shared" si="6"/>
        <v>Μεταμορφώσεως</v>
      </c>
    </row>
    <row r="59" spans="1:15" x14ac:dyDescent="0.3">
      <c r="A59" s="203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201" t="s">
        <v>637</v>
      </c>
      <c r="G59" s="201">
        <v>14266</v>
      </c>
      <c r="H59" t="str">
        <f>_xlfn.IFNA(INDEX(DimosNaiOxi,MATCH(ΤΚ!E59,DimosNai,0)),"")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203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201">
        <f t="shared" si="4"/>
        <v>14300</v>
      </c>
      <c r="O59" s="201" t="str">
        <f t="shared" si="6"/>
        <v>Μοσχάτου - Ταύρου</v>
      </c>
    </row>
    <row r="60" spans="1:15" x14ac:dyDescent="0.3">
      <c r="A60" s="203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201" t="s">
        <v>638</v>
      </c>
      <c r="G60" s="201">
        <v>14278</v>
      </c>
      <c r="H60" t="str">
        <f>_xlfn.IFNA(INDEX(DimosNaiOxi,MATCH(ΤΚ!E60,DimosNai,0)),"")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203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201">
        <f t="shared" si="4"/>
        <v>14316</v>
      </c>
      <c r="O60" s="201" t="str">
        <f t="shared" si="6"/>
        <v>Νέας Ιωνίας</v>
      </c>
    </row>
    <row r="61" spans="1:15" x14ac:dyDescent="0.3">
      <c r="A61" s="203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201" t="s">
        <v>639</v>
      </c>
      <c r="G61" s="201">
        <v>14288</v>
      </c>
      <c r="H61" t="str">
        <f>_xlfn.IFNA(INDEX(DimosNaiOxi,MATCH(ΤΚ!E61,DimosNai,0)),"")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203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201">
        <f t="shared" si="4"/>
        <v>14320</v>
      </c>
      <c r="O61" s="201" t="str">
        <f t="shared" si="6"/>
        <v>Νέας Σμύρνης</v>
      </c>
    </row>
    <row r="62" spans="1:15" x14ac:dyDescent="0.3">
      <c r="A62" s="203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201" t="s">
        <v>640</v>
      </c>
      <c r="G62" s="201">
        <v>14286</v>
      </c>
      <c r="H62" t="str">
        <f>_xlfn.IFNA(INDEX(DimosNaiOxi,MATCH(ΤΚ!E62,DimosNai,0)),"")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203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201">
        <f t="shared" si="4"/>
        <v>14338</v>
      </c>
      <c r="O62" s="201" t="str">
        <f t="shared" si="6"/>
        <v>Νίκαιας - Αγίου Ι. Ρέντη</v>
      </c>
    </row>
    <row r="63" spans="1:15" x14ac:dyDescent="0.3">
      <c r="A63" s="203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201" t="s">
        <v>641</v>
      </c>
      <c r="G63" s="201">
        <v>14300</v>
      </c>
      <c r="H63" t="str">
        <f>_xlfn.IFNA(INDEX(DimosNaiOxi,MATCH(ΤΚ!E63,DimosNai,0)),"")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203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201">
        <f t="shared" si="4"/>
        <v>14362</v>
      </c>
      <c r="O63" s="201" t="str">
        <f t="shared" si="6"/>
        <v>Παιανίας</v>
      </c>
    </row>
    <row r="64" spans="1:15" x14ac:dyDescent="0.3">
      <c r="A64" s="203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201" t="s">
        <v>642</v>
      </c>
      <c r="G64" s="201">
        <v>14316</v>
      </c>
      <c r="H64" t="str">
        <f>_xlfn.IFNA(INDEX(DimosNaiOxi,MATCH(ΤΚ!E64,DimosNai,0)),"")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203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201">
        <f t="shared" si="4"/>
        <v>14386</v>
      </c>
      <c r="O64" s="201" t="str">
        <f t="shared" si="6"/>
        <v>Παλαιού Φαλήρου</v>
      </c>
    </row>
    <row r="65" spans="1:15" x14ac:dyDescent="0.3">
      <c r="A65" s="203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201" t="s">
        <v>643</v>
      </c>
      <c r="G65" s="201">
        <v>14320</v>
      </c>
      <c r="H65" t="str">
        <f>_xlfn.IFNA(INDEX(DimosNaiOxi,MATCH(ΤΚ!E65,DimosNai,0)),"")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203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201">
        <f t="shared" si="4"/>
        <v>14390</v>
      </c>
      <c r="O65" s="201" t="str">
        <f t="shared" si="6"/>
        <v>Παλλήνης</v>
      </c>
    </row>
    <row r="66" spans="1:15" x14ac:dyDescent="0.3">
      <c r="A66" s="203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201" t="s">
        <v>644</v>
      </c>
      <c r="G66" s="201">
        <v>14338</v>
      </c>
      <c r="H66" t="str">
        <f>_xlfn.IFNA(INDEX(DimosNaiOxi,MATCH(ΤΚ!E66,DimosNai,0)),"")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203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201">
        <f t="shared" si="4"/>
        <v>14394</v>
      </c>
      <c r="O66" s="201" t="str">
        <f t="shared" si="6"/>
        <v>Παπάγου - Χολαργού</v>
      </c>
    </row>
    <row r="67" spans="1:15" x14ac:dyDescent="0.3">
      <c r="A67" s="203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201" t="s">
        <v>645</v>
      </c>
      <c r="G67" s="201">
        <v>14362</v>
      </c>
      <c r="H67" t="str">
        <f>_xlfn.IFNA(INDEX(DimosNaiOxi,MATCH(ΤΚ!E67,DimosNai,0)),"")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203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201">
        <f t="shared" ref="N67:N130" si="12">IF(ISNUMBER(K67),LOOKUP(K67,A:A,G:G),"")</f>
        <v>14402</v>
      </c>
      <c r="O67" s="201" t="str">
        <f t="shared" ref="O67:O130" si="13">IF(ISNUMBER(K67),LOOKUP(K67,A:A,F:F),"")</f>
        <v>Πειραιώς</v>
      </c>
    </row>
    <row r="68" spans="1:15" x14ac:dyDescent="0.3">
      <c r="A68" s="203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201" t="s">
        <v>646</v>
      </c>
      <c r="G68" s="201">
        <v>14386</v>
      </c>
      <c r="H68" t="str">
        <f>_xlfn.IFNA(INDEX(DimosNaiOxi,MATCH(ΤΚ!E68,DimosNai,0)),"")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203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201">
        <f t="shared" si="12"/>
        <v>14404</v>
      </c>
      <c r="O68" s="201" t="str">
        <f t="shared" si="13"/>
        <v>Πεντέλης</v>
      </c>
    </row>
    <row r="69" spans="1:15" x14ac:dyDescent="0.3">
      <c r="A69" s="203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201" t="s">
        <v>647</v>
      </c>
      <c r="G69" s="201">
        <v>14390</v>
      </c>
      <c r="H69" t="str">
        <f>_xlfn.IFNA(INDEX(DimosNaiOxi,MATCH(ΤΚ!E69,DimosNai,0)),"")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203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201">
        <f t="shared" si="12"/>
        <v>14370</v>
      </c>
      <c r="O69" s="201" t="str">
        <f t="shared" si="13"/>
        <v>Περάματος</v>
      </c>
    </row>
    <row r="70" spans="1:15" x14ac:dyDescent="0.3">
      <c r="A70" s="203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201" t="s">
        <v>648</v>
      </c>
      <c r="G70" s="201">
        <v>14394</v>
      </c>
      <c r="H70" t="str">
        <f>_xlfn.IFNA(INDEX(DimosNaiOxi,MATCH(ΤΚ!E70,DimosNai,0)),"")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203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201">
        <f t="shared" si="12"/>
        <v>14406</v>
      </c>
      <c r="O70" s="201" t="str">
        <f t="shared" si="13"/>
        <v>Περιστερίου</v>
      </c>
    </row>
    <row r="71" spans="1:15" x14ac:dyDescent="0.3">
      <c r="A71" s="203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201" t="s">
        <v>649</v>
      </c>
      <c r="G71" s="201">
        <v>14402</v>
      </c>
      <c r="H71" t="str">
        <f>_xlfn.IFNA(INDEX(DimosNaiOxi,MATCH(ΤΚ!E71,DimosNai,0)),"")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203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201">
        <f t="shared" si="12"/>
        <v>14408</v>
      </c>
      <c r="O71" s="201" t="str">
        <f t="shared" si="13"/>
        <v>Πετρούπολης</v>
      </c>
    </row>
    <row r="72" spans="1:15" x14ac:dyDescent="0.3">
      <c r="A72" s="203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201" t="s">
        <v>650</v>
      </c>
      <c r="G72" s="201">
        <v>14404</v>
      </c>
      <c r="H72" t="str">
        <f>_xlfn.IFNA(INDEX(DimosNaiOxi,MATCH(ΤΚ!E72,DimosNai,0)),"")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203">
        <f t="shared" si="8"/>
        <v>75</v>
      </c>
      <c r="L72" t="str">
        <f t="shared" si="9"/>
        <v>ΑΤΤΙΚΗΣ</v>
      </c>
      <c r="M72" t="str">
        <f t="shared" si="10"/>
        <v>ΑΤΤΙΚΗΣ - ΠΟΡΟΥ</v>
      </c>
      <c r="N72" s="201">
        <f t="shared" si="12"/>
        <v>14416</v>
      </c>
      <c r="O72" s="201" t="str">
        <f t="shared" si="13"/>
        <v>Πόρου</v>
      </c>
    </row>
    <row r="73" spans="1:15" x14ac:dyDescent="0.3">
      <c r="A73" s="203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201" t="s">
        <v>651</v>
      </c>
      <c r="G73" s="201">
        <v>14370</v>
      </c>
      <c r="H73" t="str">
        <f>_xlfn.IFNA(INDEX(DimosNaiOxi,MATCH(ΤΚ!E73,DimosNai,0)),"")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203">
        <f t="shared" si="8"/>
        <v>76</v>
      </c>
      <c r="L73" t="str">
        <f t="shared" si="9"/>
        <v>ΑΤΤΙΚΗΣ</v>
      </c>
      <c r="M73" t="str">
        <f t="shared" si="10"/>
        <v>ΑΤΤΙΚΗΣ - ΡΑΦΗΝΑΣ – ΠΙΚΕΡΜΙΟΥ</v>
      </c>
      <c r="N73" s="201">
        <f t="shared" si="12"/>
        <v>14380</v>
      </c>
      <c r="O73" s="201" t="str">
        <f t="shared" si="13"/>
        <v>Ραφήνας - Πικερμίου</v>
      </c>
    </row>
    <row r="74" spans="1:15" x14ac:dyDescent="0.3">
      <c r="A74" s="203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201" t="s">
        <v>652</v>
      </c>
      <c r="G74" s="201">
        <v>14406</v>
      </c>
      <c r="H74" t="str">
        <f>_xlfn.IFNA(INDEX(DimosNaiOxi,MATCH(ΤΚ!E74,DimosNai,0)),"")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203">
        <f t="shared" si="8"/>
        <v>77</v>
      </c>
      <c r="L74" t="str">
        <f t="shared" si="9"/>
        <v>ΑΤΤΙΚΗΣ</v>
      </c>
      <c r="M74" t="str">
        <f t="shared" si="10"/>
        <v>ΑΤΤΙΚΗΣ - ΣΑΛΑΜΙΝΟΣ</v>
      </c>
      <c r="N74" s="201">
        <f t="shared" si="12"/>
        <v>14430</v>
      </c>
      <c r="O74" s="201" t="str">
        <f t="shared" si="13"/>
        <v>Σαλαμίνας</v>
      </c>
    </row>
    <row r="75" spans="1:15" x14ac:dyDescent="0.3">
      <c r="A75" s="203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201" t="s">
        <v>653</v>
      </c>
      <c r="G75" s="201">
        <v>14408</v>
      </c>
      <c r="H75" t="str">
        <f>_xlfn.IFNA(INDEX(DimosNaiOxi,MATCH(ΤΚ!E75,DimosNai,0)),"")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203">
        <f t="shared" si="8"/>
        <v>78</v>
      </c>
      <c r="L75" t="str">
        <f t="shared" si="9"/>
        <v>ΑΤΤΙΚΗΣ</v>
      </c>
      <c r="M75" t="str">
        <f t="shared" si="10"/>
        <v>ΑΤΤΙΚΗΣ - ΣΑΡΩΝΙΚΟΥ</v>
      </c>
      <c r="N75" s="201">
        <f t="shared" si="12"/>
        <v>14448</v>
      </c>
      <c r="O75" s="201" t="str">
        <f t="shared" si="13"/>
        <v>Σαρωνικού</v>
      </c>
    </row>
    <row r="76" spans="1:15" x14ac:dyDescent="0.3">
      <c r="A76" s="203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201" t="s">
        <v>654</v>
      </c>
      <c r="G76" s="201">
        <v>14416</v>
      </c>
      <c r="H76" t="str">
        <f>_xlfn.IFNA(INDEX(DimosNaiOxi,MATCH(ΤΚ!E76,DimosNai,0)),"")</f>
        <v>ΝΑΙ</v>
      </c>
      <c r="I76" t="str">
        <f>LOOKUP(B76,ΠΕΡΙΦΕΡΕΙΑ!$A$2:$A$14,ΠΕΡΙΦΕΡΕΙΑ!$B$2:$B$14)</f>
        <v>Μερική</v>
      </c>
      <c r="J76">
        <f t="shared" si="11"/>
        <v>75</v>
      </c>
      <c r="K76" s="203">
        <f t="shared" si="8"/>
        <v>79</v>
      </c>
      <c r="L76" t="str">
        <f t="shared" si="9"/>
        <v>ΑΤΤΙΚΗΣ</v>
      </c>
      <c r="M76" t="str">
        <f t="shared" si="10"/>
        <v>ΑΤΤΙΚΗΣ - ΣΠΑΤΩΝ – ΑΡΤΕΜΙΔΟΣ</v>
      </c>
      <c r="N76" s="201">
        <f t="shared" si="12"/>
        <v>14480</v>
      </c>
      <c r="O76" s="201" t="str">
        <f t="shared" si="13"/>
        <v>Σπάτων - Αρτέμιδος</v>
      </c>
    </row>
    <row r="77" spans="1:15" x14ac:dyDescent="0.3">
      <c r="A77" s="203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201" t="s">
        <v>655</v>
      </c>
      <c r="G77" s="201">
        <v>14380</v>
      </c>
      <c r="H77" t="str">
        <f>_xlfn.IFNA(INDEX(DimosNaiOxi,MATCH(ΤΚ!E77,DimosNai,0)),"")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203">
        <f t="shared" si="8"/>
        <v>80</v>
      </c>
      <c r="L77" t="str">
        <f t="shared" si="9"/>
        <v>ΑΤΤΙΚΗΣ</v>
      </c>
      <c r="M77" t="str">
        <f t="shared" si="10"/>
        <v>ΑΤΤΙΚΗΣ - ΣΠΕΤΣΩΝ</v>
      </c>
      <c r="N77" s="201">
        <f t="shared" si="12"/>
        <v>14482</v>
      </c>
      <c r="O77" s="201" t="str">
        <f t="shared" si="13"/>
        <v>Σπετσών</v>
      </c>
    </row>
    <row r="78" spans="1:15" x14ac:dyDescent="0.3">
      <c r="A78" s="203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201" t="s">
        <v>656</v>
      </c>
      <c r="G78" s="201">
        <v>14430</v>
      </c>
      <c r="H78" t="str">
        <f>_xlfn.IFNA(INDEX(DimosNaiOxi,MATCH(ΤΚ!E78,DimosNai,0)),"")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203">
        <f t="shared" si="8"/>
        <v>81</v>
      </c>
      <c r="L78" t="str">
        <f t="shared" si="9"/>
        <v>ΑΤΤΙΚΗΣ</v>
      </c>
      <c r="M78" t="str">
        <f t="shared" si="10"/>
        <v>ΑΤΤΙΚΗΣ - ΤΡΟΙΖΗΝΙΑΣ</v>
      </c>
      <c r="N78" s="201">
        <f t="shared" si="12"/>
        <v>14502</v>
      </c>
      <c r="O78" s="201" t="str">
        <f t="shared" si="13"/>
        <v>Τροιζηνίας</v>
      </c>
    </row>
    <row r="79" spans="1:15" x14ac:dyDescent="0.3">
      <c r="A79" s="203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201" t="s">
        <v>657</v>
      </c>
      <c r="G79" s="201">
        <v>14448</v>
      </c>
      <c r="H79" t="str">
        <f>_xlfn.IFNA(INDEX(DimosNaiOxi,MATCH(ΤΚ!E79,DimosNai,0)),"")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203">
        <f t="shared" si="8"/>
        <v>83</v>
      </c>
      <c r="L79" t="str">
        <f t="shared" si="9"/>
        <v>ΑΤΤΙΚΗΣ</v>
      </c>
      <c r="M79" t="str">
        <f t="shared" si="10"/>
        <v>ΑΤΤΙΚΗΣ - ΦΙΛΑΔΕΛΦΕΙΑΣ – ΧΑΛΚΗΔΟΝΟΣ</v>
      </c>
      <c r="N79" s="201">
        <f t="shared" si="12"/>
        <v>14514</v>
      </c>
      <c r="O79" s="201" t="str">
        <f t="shared" si="13"/>
        <v>Φιλαδελφείας - Χαλκηδόνος</v>
      </c>
    </row>
    <row r="80" spans="1:15" x14ac:dyDescent="0.3">
      <c r="A80" s="203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201" t="s">
        <v>658</v>
      </c>
      <c r="G80" s="201">
        <v>14480</v>
      </c>
      <c r="H80" t="str">
        <f>_xlfn.IFNA(INDEX(DimosNaiOxi,MATCH(ΤΚ!E80,DimosNai,0)),"")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203">
        <f t="shared" si="8"/>
        <v>84</v>
      </c>
      <c r="L80" t="str">
        <f t="shared" si="9"/>
        <v>ΑΤΤΙΚΗΣ</v>
      </c>
      <c r="M80" t="str">
        <f t="shared" si="10"/>
        <v>ΑΤΤΙΚΗΣ - ΦΙΛΟΘΕΗΣ – ΨΥΧΙΚΟΥ</v>
      </c>
      <c r="N80" s="201">
        <f t="shared" si="12"/>
        <v>14518</v>
      </c>
      <c r="O80" s="201" t="str">
        <f t="shared" si="13"/>
        <v>Φιλοθέης - Ψυχικού</v>
      </c>
    </row>
    <row r="81" spans="1:15" x14ac:dyDescent="0.3">
      <c r="A81" s="203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201" t="s">
        <v>659</v>
      </c>
      <c r="G81" s="201">
        <v>14482</v>
      </c>
      <c r="H81" t="str">
        <f>_xlfn.IFNA(INDEX(DimosNaiOxi,MATCH(ΤΚ!E81,DimosNai,0)),"")</f>
        <v>ΝΑΙ</v>
      </c>
      <c r="I81" t="str">
        <f>LOOKUP(B81,ΠΕΡΙΦΕΡΕΙΑ!$A$2:$A$14,ΠΕΡΙΦΕΡΕΙΑ!$B$2:$B$14)</f>
        <v>Μερική</v>
      </c>
      <c r="J81">
        <f t="shared" si="11"/>
        <v>80</v>
      </c>
      <c r="K81" s="203">
        <f t="shared" si="8"/>
        <v>85</v>
      </c>
      <c r="L81" t="str">
        <f t="shared" si="9"/>
        <v>ΑΤΤΙΚΗΣ</v>
      </c>
      <c r="M81" t="str">
        <f t="shared" si="10"/>
        <v>ΑΤΤΙΚΗΣ - ΦΥΛΗΣ</v>
      </c>
      <c r="N81" s="201">
        <f t="shared" si="12"/>
        <v>14528</v>
      </c>
      <c r="O81" s="201" t="str">
        <f t="shared" si="13"/>
        <v>Φυλής</v>
      </c>
    </row>
    <row r="82" spans="1:15" x14ac:dyDescent="0.3">
      <c r="A82" s="203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201" t="s">
        <v>660</v>
      </c>
      <c r="G82" s="201">
        <v>14502</v>
      </c>
      <c r="H82" t="str">
        <f>_xlfn.IFNA(INDEX(DimosNaiOxi,MATCH(ΤΚ!E82,DimosNai,0)),"")</f>
        <v>ΝΑΙ</v>
      </c>
      <c r="I82" t="str">
        <f>LOOKUP(B82,ΠΕΡΙΦΕΡΕΙΑ!$A$2:$A$14,ΠΕΡΙΦΕΡΕΙΑ!$B$2:$B$14)</f>
        <v>Μερική</v>
      </c>
      <c r="J82">
        <f t="shared" si="11"/>
        <v>81</v>
      </c>
      <c r="K82" s="203">
        <f t="shared" si="8"/>
        <v>86</v>
      </c>
      <c r="L82" t="str">
        <f t="shared" si="9"/>
        <v>ΑΤΤΙΚΗΣ</v>
      </c>
      <c r="M82" t="str">
        <f t="shared" si="10"/>
        <v>ΑΤΤΙΚΗΣ - ΧΑΪΔΑΡΙΟΥ</v>
      </c>
      <c r="N82" s="201">
        <f t="shared" si="12"/>
        <v>14526</v>
      </c>
      <c r="O82" s="201" t="str">
        <f t="shared" si="13"/>
        <v>Χαϊδαρίου</v>
      </c>
    </row>
    <row r="83" spans="1:15" x14ac:dyDescent="0.3">
      <c r="A83" s="203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201" t="s">
        <v>661</v>
      </c>
      <c r="G83" s="201">
        <v>14508</v>
      </c>
      <c r="H83" t="str">
        <f>_xlfn.IFNA(INDEX(DimosNaiOxi,MATCH(ΤΚ!E83,DimosNai,0)),"")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203">
        <f t="shared" si="8"/>
        <v>87</v>
      </c>
      <c r="L83" t="str">
        <f t="shared" si="9"/>
        <v>ΑΤΤΙΚΗΣ</v>
      </c>
      <c r="M83" t="str">
        <f t="shared" si="10"/>
        <v>ΑΤΤΙΚΗΣ - ΧΑΛΑΝΔΡΙΟΥ</v>
      </c>
      <c r="N83" s="201">
        <f t="shared" si="12"/>
        <v>14530</v>
      </c>
      <c r="O83" s="201" t="str">
        <f t="shared" si="13"/>
        <v>Χαλανδρίου</v>
      </c>
    </row>
    <row r="84" spans="1:15" x14ac:dyDescent="0.3">
      <c r="A84" s="203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201" t="s">
        <v>662</v>
      </c>
      <c r="G84" s="201">
        <v>14514</v>
      </c>
      <c r="H84" t="str">
        <f>_xlfn.IFNA(INDEX(DimosNaiOxi,MATCH(ΤΚ!E84,DimosNai,0)),"")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203">
        <f t="shared" si="8"/>
        <v>88</v>
      </c>
      <c r="L84" t="str">
        <f t="shared" si="9"/>
        <v>ΑΤΤΙΚΗΣ</v>
      </c>
      <c r="M84" t="str">
        <f t="shared" si="10"/>
        <v>ΑΤΤΙΚΗΣ - ΩΡΩΠΟΥ</v>
      </c>
      <c r="N84" s="201">
        <f t="shared" si="12"/>
        <v>14548</v>
      </c>
      <c r="O84" s="201" t="str">
        <f t="shared" si="13"/>
        <v>Ωρωπού</v>
      </c>
    </row>
    <row r="85" spans="1:15" x14ac:dyDescent="0.3">
      <c r="A85" s="203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201" t="s">
        <v>663</v>
      </c>
      <c r="G85" s="201">
        <v>14518</v>
      </c>
      <c r="H85" t="str">
        <f>_xlfn.IFNA(INDEX(DimosNaiOxi,MATCH(ΤΚ!E85,DimosNai,0)),"")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203">
        <f t="shared" si="8"/>
        <v>91</v>
      </c>
      <c r="L85" t="str">
        <f t="shared" si="9"/>
        <v>ΒΟΡΕΙΟΥ ΑΙΓΑΙΟΥ</v>
      </c>
      <c r="M85" t="str">
        <f t="shared" si="10"/>
        <v>ΒΟΡΕΙΟΥ ΑΙΓΑΙΟΥ - ΛΕΣΒΟΥ</v>
      </c>
      <c r="N85" s="201">
        <f t="shared" si="12"/>
        <v>14256</v>
      </c>
      <c r="O85" s="201" t="str">
        <f t="shared" si="13"/>
        <v>Λέσβου</v>
      </c>
    </row>
    <row r="86" spans="1:15" x14ac:dyDescent="0.3">
      <c r="A86" s="203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201" t="s">
        <v>664</v>
      </c>
      <c r="G86" s="201">
        <v>14528</v>
      </c>
      <c r="H86" t="str">
        <f>_xlfn.IFNA(INDEX(DimosNaiOxi,MATCH(ΤΚ!E86,DimosNai,0)),"")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203">
        <f t="shared" si="8"/>
        <v>92</v>
      </c>
      <c r="L86" t="str">
        <f t="shared" si="9"/>
        <v>ΒΟΡΕΙΟΥ ΑΙΓΑΙΟΥ</v>
      </c>
      <c r="M86" t="str">
        <f t="shared" si="10"/>
        <v>ΒΟΡΕΙΟΥ ΑΙΓΑΙΟΥ - ΛΗΜΝΟΥ</v>
      </c>
      <c r="N86" s="201">
        <f t="shared" si="12"/>
        <v>14240</v>
      </c>
      <c r="O86" s="201" t="str">
        <f t="shared" si="13"/>
        <v>Λήμνου</v>
      </c>
    </row>
    <row r="87" spans="1:15" x14ac:dyDescent="0.3">
      <c r="A87" s="203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201" t="s">
        <v>665</v>
      </c>
      <c r="G87" s="201">
        <v>14526</v>
      </c>
      <c r="H87" t="str">
        <f>_xlfn.IFNA(INDEX(DimosNaiOxi,MATCH(ΤΚ!E87,DimosNai,0)),"")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203">
        <f t="shared" si="8"/>
        <v>94</v>
      </c>
      <c r="L87" t="str">
        <f t="shared" si="9"/>
        <v>ΒΟΡΕΙΟΥ ΑΙΓΑΙΟΥ</v>
      </c>
      <c r="M87" t="str">
        <f t="shared" si="10"/>
        <v>ΒΟΡΕΙΟΥ ΑΙΓΑΙΟΥ - ΣΑΜΟΥ</v>
      </c>
      <c r="N87" s="201">
        <f t="shared" si="12"/>
        <v>14446</v>
      </c>
      <c r="O87" s="201" t="str">
        <f t="shared" si="13"/>
        <v>Σάμου</v>
      </c>
    </row>
    <row r="88" spans="1:15" x14ac:dyDescent="0.3">
      <c r="A88" s="203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201" t="s">
        <v>666</v>
      </c>
      <c r="G88" s="201">
        <v>14530</v>
      </c>
      <c r="H88" t="str">
        <f>_xlfn.IFNA(INDEX(DimosNaiOxi,MATCH(ΤΚ!E88,DimosNai,0)),"")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203">
        <f t="shared" si="8"/>
        <v>96</v>
      </c>
      <c r="L88" t="str">
        <f t="shared" si="9"/>
        <v>ΒΟΡΕΙΟΥ ΑΙΓΑΙΟΥ</v>
      </c>
      <c r="M88" t="str">
        <f t="shared" si="10"/>
        <v>ΒΟΡΕΙΟΥ ΑΙΓΑΙΟΥ - ΧΙΟΥ</v>
      </c>
      <c r="N88" s="201">
        <f t="shared" si="12"/>
        <v>14542</v>
      </c>
      <c r="O88" s="201" t="str">
        <f t="shared" si="13"/>
        <v>Χίου</v>
      </c>
    </row>
    <row r="89" spans="1:15" x14ac:dyDescent="0.3">
      <c r="A89" s="203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201" t="s">
        <v>667</v>
      </c>
      <c r="G89" s="201">
        <v>14548</v>
      </c>
      <c r="H89" t="str">
        <f>_xlfn.IFNA(INDEX(DimosNaiOxi,MATCH(ΤΚ!E89,DimosNai,0)),"")</f>
        <v>ΝΑΙ</v>
      </c>
      <c r="I89" t="str">
        <f>LOOKUP(B89,ΠΕΡΙΦΕΡΕΙΑ!$A$2:$A$14,ΠΕΡΙΦΕΡΕΙΑ!$B$2:$B$14)</f>
        <v>Μερική</v>
      </c>
      <c r="J89">
        <f t="shared" si="11"/>
        <v>88</v>
      </c>
      <c r="K89" s="203">
        <f t="shared" si="8"/>
        <v>98</v>
      </c>
      <c r="L89" t="str">
        <f t="shared" si="9"/>
        <v>ΔΥΤΙΚΗΣ ΕΛΛΑΔΑΣ</v>
      </c>
      <c r="M89" t="str">
        <f t="shared" si="10"/>
        <v>ΔΥΤΙΚΗΣ ΕΛΛΑΔΑΣ - ΑΓΡΙΝΙΟΥ</v>
      </c>
      <c r="N89" s="201">
        <f t="shared" si="12"/>
        <v>13942</v>
      </c>
      <c r="O89" s="201" t="str">
        <f t="shared" si="13"/>
        <v>Αγρινίου</v>
      </c>
    </row>
    <row r="90" spans="1:15" x14ac:dyDescent="0.3">
      <c r="A90" s="203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201" t="s">
        <v>668</v>
      </c>
      <c r="G90" s="201">
        <v>13928</v>
      </c>
      <c r="H90" t="str">
        <f>_xlfn.IFNA(INDEX(DimosNaiOxi,MATCH(ΤΚ!E90,DimosNai,0)),"")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203">
        <f t="shared" si="8"/>
        <v>99</v>
      </c>
      <c r="L90" t="str">
        <f t="shared" si="9"/>
        <v>ΔΥΤΙΚΗΣ ΕΛΛΑΔΑΣ</v>
      </c>
      <c r="M90" t="str">
        <f t="shared" si="10"/>
        <v>ΔΥΤΙΚΗΣ ΕΛΛΑΔΑΣ - ΑΙΓΙΑΛΕΙΑΣ</v>
      </c>
      <c r="N90" s="201">
        <f t="shared" si="12"/>
        <v>13904</v>
      </c>
      <c r="O90" s="201" t="str">
        <f t="shared" si="13"/>
        <v>Αιγιαλείας</v>
      </c>
    </row>
    <row r="91" spans="1:15" x14ac:dyDescent="0.3">
      <c r="A91" s="203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201" t="s">
        <v>669</v>
      </c>
      <c r="G91" s="201">
        <v>14148</v>
      </c>
      <c r="H91" t="str">
        <f>_xlfn.IFNA(INDEX(DimosNaiOxi,MATCH(ΤΚ!E91,DimosNai,0)),"")</f>
        <v/>
      </c>
      <c r="I91" t="str">
        <f>LOOKUP(B91,ΠΕΡΙΦΕΡΕΙΑ!$A$2:$A$14,ΠΕΡΙΦΕΡΕΙΑ!$B$2:$B$14)</f>
        <v>Μερική</v>
      </c>
      <c r="J91" t="str">
        <f t="shared" si="11"/>
        <v/>
      </c>
      <c r="K91" s="203">
        <f t="shared" si="8"/>
        <v>100</v>
      </c>
      <c r="L91" t="str">
        <f t="shared" si="9"/>
        <v>ΔΥΤΙΚΗΣ ΕΛΛΑΔΑΣ</v>
      </c>
      <c r="M91" t="str">
        <f t="shared" si="10"/>
        <v>ΔΥΤΙΚΗΣ ΕΛΛΑΔΑΣ - ΑΚΤΙΟΥ – ΒΟΝΙΤΣΑΣ</v>
      </c>
      <c r="N91" s="201">
        <f t="shared" si="12"/>
        <v>13950</v>
      </c>
      <c r="O91" s="201" t="str">
        <f t="shared" si="13"/>
        <v>Άκτιου - Βόνιτσας</v>
      </c>
    </row>
    <row r="92" spans="1:15" x14ac:dyDescent="0.3">
      <c r="A92" s="203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201" t="s">
        <v>670</v>
      </c>
      <c r="G92" s="201">
        <v>14256</v>
      </c>
      <c r="H92" t="str">
        <f>_xlfn.IFNA(INDEX(DimosNaiOxi,MATCH(ΤΚ!E92,DimosNai,0)),"")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203">
        <f t="shared" si="8"/>
        <v>101</v>
      </c>
      <c r="L92" t="str">
        <f t="shared" si="9"/>
        <v>ΔΥΤΙΚΗΣ ΕΛΛΑΔΑΣ</v>
      </c>
      <c r="M92" t="str">
        <f t="shared" si="10"/>
        <v>ΔΥΤΙΚΗΣ ΕΛΛΑΔΑΣ - ΑΜΦΙΛΟΧΙΑΣ</v>
      </c>
      <c r="N92" s="201">
        <f t="shared" si="12"/>
        <v>13974</v>
      </c>
      <c r="O92" s="201" t="str">
        <f t="shared" si="13"/>
        <v>Αμφιλοχίας</v>
      </c>
    </row>
    <row r="93" spans="1:15" x14ac:dyDescent="0.3">
      <c r="A93" s="203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201" t="s">
        <v>671</v>
      </c>
      <c r="G93" s="201">
        <v>14240</v>
      </c>
      <c r="H93" t="str">
        <f>_xlfn.IFNA(INDEX(DimosNaiOxi,MATCH(ΤΚ!E93,DimosNai,0)),"")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203">
        <f t="shared" si="8"/>
        <v>102</v>
      </c>
      <c r="L93" t="str">
        <f t="shared" si="9"/>
        <v>ΔΥΤΙΚΗΣ ΕΛΛΑΔΑΣ</v>
      </c>
      <c r="M93" t="str">
        <f t="shared" si="10"/>
        <v>ΔΥΤΙΚΗΣ ΕΛΛΑΔΑΣ - ΑΝΔΡΑΒΙΔΑΣ – ΚΥΛΛΗΝΗΣ</v>
      </c>
      <c r="N93" s="201">
        <f t="shared" si="12"/>
        <v>13984</v>
      </c>
      <c r="O93" s="201" t="str">
        <f t="shared" si="13"/>
        <v>Ανδραβίδας - Κυλλήνης</v>
      </c>
    </row>
    <row r="94" spans="1:15" x14ac:dyDescent="0.3">
      <c r="A94" s="203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201" t="s">
        <v>672</v>
      </c>
      <c r="G94" s="201">
        <v>14348</v>
      </c>
      <c r="H94" t="str">
        <f>_xlfn.IFNA(INDEX(DimosNaiOxi,MATCH(ΤΚ!E94,DimosNai,0)),"")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203">
        <f t="shared" si="8"/>
        <v>103</v>
      </c>
      <c r="L94" t="str">
        <f t="shared" si="9"/>
        <v>ΔΥΤΙΚΗΣ ΕΛΛΑΔΑΣ</v>
      </c>
      <c r="M94" t="str">
        <f t="shared" si="10"/>
        <v>ΔΥΤΙΚΗΣ ΕΛΛΑΔΑΣ - ΑΝΔΡΙΤΣΑΙΝΑΣ – ΚΡΕΣΤΕΝΩΝ</v>
      </c>
      <c r="N94" s="201">
        <f t="shared" si="12"/>
        <v>13982</v>
      </c>
      <c r="O94" s="201" t="str">
        <f t="shared" si="13"/>
        <v>Ανδρίτσαινας - Κρεστένων</v>
      </c>
    </row>
    <row r="95" spans="1:15" x14ac:dyDescent="0.3">
      <c r="A95" s="203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201" t="s">
        <v>673</v>
      </c>
      <c r="G95" s="201">
        <v>14446</v>
      </c>
      <c r="H95" t="str">
        <f>_xlfn.IFNA(INDEX(DimosNaiOxi,MATCH(ΤΚ!E95,DimosNai,0)),"")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203">
        <f t="shared" si="8"/>
        <v>104</v>
      </c>
      <c r="L95" t="str">
        <f t="shared" si="9"/>
        <v>ΔΥΤΙΚΗΣ ΕΛΛΑΔΑΣ</v>
      </c>
      <c r="M95" t="str">
        <f t="shared" si="10"/>
        <v>ΔΥΤΙΚΗΣ ΕΛΛΑΔΑΣ - ΑΡΧΑΙΑΣ ΟΛΥΜΠΙΑΣ</v>
      </c>
      <c r="N95" s="201">
        <f t="shared" si="12"/>
        <v>14000</v>
      </c>
      <c r="O95" s="201" t="str">
        <f t="shared" si="13"/>
        <v>Αρχαίας Ολυμπίας</v>
      </c>
    </row>
    <row r="96" spans="1:15" x14ac:dyDescent="0.3">
      <c r="A96" s="203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201" t="s">
        <v>674</v>
      </c>
      <c r="G96" s="201">
        <v>14524</v>
      </c>
      <c r="H96" t="str">
        <f>_xlfn.IFNA(INDEX(DimosNaiOxi,MATCH(ΤΚ!E96,DimosNai,0)),"")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203">
        <f t="shared" si="8"/>
        <v>105</v>
      </c>
      <c r="L96" t="str">
        <f t="shared" si="9"/>
        <v>ΔΥΤΙΚΗΣ ΕΛΛΑΔΑΣ</v>
      </c>
      <c r="M96" t="str">
        <f t="shared" si="10"/>
        <v>ΔΥΤΙΚΗΣ ΕΛΛΑΔΑΣ - ΔΥΤΙΚΗΣ ΑΧΑΪΑΣ</v>
      </c>
      <c r="N96" s="201">
        <f t="shared" si="12"/>
        <v>14072</v>
      </c>
      <c r="O96" s="201" t="str">
        <f t="shared" si="13"/>
        <v>Δυτικής Αχαΐας</v>
      </c>
    </row>
    <row r="97" spans="1:15" x14ac:dyDescent="0.3">
      <c r="A97" s="203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201" t="s">
        <v>675</v>
      </c>
      <c r="G97" s="201">
        <v>14542</v>
      </c>
      <c r="H97" t="str">
        <f>_xlfn.IFNA(INDEX(DimosNaiOxi,MATCH(ΤΚ!E97,DimosNai,0)),"")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203">
        <f t="shared" si="8"/>
        <v>106</v>
      </c>
      <c r="L97" t="str">
        <f t="shared" si="9"/>
        <v>ΔΥΤΙΚΗΣ ΕΛΛΑΔΑΣ</v>
      </c>
      <c r="M97" t="str">
        <f t="shared" si="10"/>
        <v>ΔΥΤΙΚΗΣ ΕΛΛΑΔΑΣ - ΕΡΥΜΑΝΘΟΥ</v>
      </c>
      <c r="N97" s="201">
        <f t="shared" si="12"/>
        <v>14098</v>
      </c>
      <c r="O97" s="201" t="str">
        <f t="shared" si="13"/>
        <v>Ερυμάνθου</v>
      </c>
    </row>
    <row r="98" spans="1:15" x14ac:dyDescent="0.3">
      <c r="A98" s="203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201" t="s">
        <v>676</v>
      </c>
      <c r="G98" s="201">
        <v>14546</v>
      </c>
      <c r="H98" t="str">
        <f>_xlfn.IFNA(INDEX(DimosNaiOxi,MATCH(ΤΚ!E98,DimosNai,0)),"")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203">
        <f t="shared" si="8"/>
        <v>107</v>
      </c>
      <c r="L98" t="str">
        <f t="shared" si="9"/>
        <v>ΔΥΤΙΚΗΣ ΕΛΛΑΔΑΣ</v>
      </c>
      <c r="M98" t="str">
        <f t="shared" si="10"/>
        <v>ΔΥΤΙΚΗΣ ΕΛΛΑΔΑΣ - ΖΑΧΑΡΩΣ</v>
      </c>
      <c r="N98" s="201">
        <f t="shared" si="12"/>
        <v>14110</v>
      </c>
      <c r="O98" s="201" t="str">
        <f t="shared" si="13"/>
        <v>Ζαχάρως</v>
      </c>
    </row>
    <row r="99" spans="1:15" x14ac:dyDescent="0.3">
      <c r="A99" s="203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201" t="s">
        <v>677</v>
      </c>
      <c r="G99" s="201">
        <v>13942</v>
      </c>
      <c r="H99" t="str">
        <f>_xlfn.IFNA(INDEX(DimosNaiOxi,MATCH(ΤΚ!E99,DimosNai,0)),"")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203">
        <f t="shared" si="8"/>
        <v>108</v>
      </c>
      <c r="L99" t="str">
        <f t="shared" si="9"/>
        <v>ΔΥΤΙΚΗΣ ΕΛΛΑΔΑΣ</v>
      </c>
      <c r="M99" t="str">
        <f t="shared" si="10"/>
        <v>ΔΥΤΙΚΗΣ ΕΛΛΑΔΑΣ - ΗΛΙΔΑΣ</v>
      </c>
      <c r="N99" s="201">
        <f t="shared" si="12"/>
        <v>14118</v>
      </c>
      <c r="O99" s="201" t="str">
        <f t="shared" si="13"/>
        <v>Ήλιδας</v>
      </c>
    </row>
    <row r="100" spans="1:15" x14ac:dyDescent="0.3">
      <c r="A100" s="203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201" t="s">
        <v>678</v>
      </c>
      <c r="G100" s="201">
        <v>13904</v>
      </c>
      <c r="H100" t="str">
        <f>_xlfn.IFNA(INDEX(DimosNaiOxi,MATCH(ΤΚ!E100,DimosNai,0)),"")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203">
        <f t="shared" si="8"/>
        <v>109</v>
      </c>
      <c r="L100" t="str">
        <f t="shared" si="9"/>
        <v>ΔΥΤΙΚΗΣ ΕΛΛΑΔΑΣ</v>
      </c>
      <c r="M100" t="str">
        <f t="shared" si="10"/>
        <v>ΔΥΤΙΚΗΣ ΕΛΛΑΔΑΣ - ΘΕΡΜΟΥ</v>
      </c>
      <c r="N100" s="201">
        <f t="shared" si="12"/>
        <v>14136</v>
      </c>
      <c r="O100" s="201" t="str">
        <f t="shared" si="13"/>
        <v>Θέρμου</v>
      </c>
    </row>
    <row r="101" spans="1:15" x14ac:dyDescent="0.3">
      <c r="A101" s="203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201" t="s">
        <v>679</v>
      </c>
      <c r="G101" s="201">
        <v>13950</v>
      </c>
      <c r="H101" t="str">
        <f>_xlfn.IFNA(INDEX(DimosNaiOxi,MATCH(ΤΚ!E101,DimosNai,0)),"")</f>
        <v>ΝΑΙ</v>
      </c>
      <c r="I101" t="str">
        <f>LOOKUP(B101,ΠΕΡΙΦΕΡΕΙΑ!$A$2:$A$14,ΠΕΡΙΦΕΡΕΙΑ!$B$2:$B$14)</f>
        <v>Μερική</v>
      </c>
      <c r="J101">
        <f t="shared" si="11"/>
        <v>100</v>
      </c>
      <c r="K101" s="203">
        <f t="shared" si="8"/>
        <v>110</v>
      </c>
      <c r="L101" t="str">
        <f t="shared" si="9"/>
        <v>ΔΥΤΙΚΗΣ ΕΛΛΑΔΑΣ</v>
      </c>
      <c r="M101" t="str">
        <f t="shared" si="10"/>
        <v>ΔΥΤΙΚΗΣ ΕΛΛΑΔΑΣ - ΙΕΡΑΣ ΠΟΛΗΣ ΜΕΣΟΛΟΓΓΙΟΥ</v>
      </c>
      <c r="N101" s="201">
        <f t="shared" si="12"/>
        <v>14142</v>
      </c>
      <c r="O101" s="201" t="str">
        <f t="shared" si="13"/>
        <v>Ιεράς Πόλης Μεσολογγίου</v>
      </c>
    </row>
    <row r="102" spans="1:15" x14ac:dyDescent="0.3">
      <c r="A102" s="203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201" t="s">
        <v>680</v>
      </c>
      <c r="G102" s="201">
        <v>13974</v>
      </c>
      <c r="H102" t="str">
        <f>_xlfn.IFNA(INDEX(DimosNaiOxi,MATCH(ΤΚ!E102,DimosNai,0)),"")</f>
        <v>ΝΑΙ</v>
      </c>
      <c r="I102" t="str">
        <f>LOOKUP(B102,ΠΕΡΙΦΕΡΕΙΑ!$A$2:$A$14,ΠΕΡΙΦΕΡΕΙΑ!$B$2:$B$14)</f>
        <v>Μερική</v>
      </c>
      <c r="J102">
        <f t="shared" si="11"/>
        <v>101</v>
      </c>
      <c r="K102" s="203">
        <f t="shared" si="8"/>
        <v>111</v>
      </c>
      <c r="L102" t="str">
        <f t="shared" si="9"/>
        <v>ΔΥΤΙΚΗΣ ΕΛΛΑΔΑΣ</v>
      </c>
      <c r="M102" t="str">
        <f t="shared" si="10"/>
        <v>ΔΥΤΙΚΗΣ ΕΛΛΑΔΑΣ - ΚΑΛΑΒΡΥΤΩΝ</v>
      </c>
      <c r="N102" s="201">
        <f t="shared" si="12"/>
        <v>14174</v>
      </c>
      <c r="O102" s="201" t="str">
        <f t="shared" si="13"/>
        <v>Καλαβρύτων</v>
      </c>
    </row>
    <row r="103" spans="1:15" x14ac:dyDescent="0.3">
      <c r="A103" s="203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201" t="s">
        <v>681</v>
      </c>
      <c r="G103" s="201">
        <v>13984</v>
      </c>
      <c r="H103" t="str">
        <f>_xlfn.IFNA(INDEX(DimosNaiOxi,MATCH(ΤΚ!E103,DimosNai,0)),"")</f>
        <v>ΝΑΙ</v>
      </c>
      <c r="I103" t="str">
        <f>LOOKUP(B103,ΠΕΡΙΦΕΡΕΙΑ!$A$2:$A$14,ΠΕΡΙΦΕΡΕΙΑ!$B$2:$B$14)</f>
        <v>Μερική</v>
      </c>
      <c r="J103">
        <f t="shared" si="11"/>
        <v>102</v>
      </c>
      <c r="K103" s="203">
        <f t="shared" si="8"/>
        <v>112</v>
      </c>
      <c r="L103" t="str">
        <f t="shared" si="9"/>
        <v>ΔΥΤΙΚΗΣ ΕΛΛΑΔΑΣ</v>
      </c>
      <c r="M103" t="str">
        <f t="shared" si="10"/>
        <v>ΔΥΤΙΚΗΣ ΕΛΛΑΔΑΣ - ΝΑΥΠΑΚΤΙΑΣ</v>
      </c>
      <c r="N103" s="201">
        <f t="shared" si="12"/>
        <v>14312</v>
      </c>
      <c r="O103" s="201" t="str">
        <f t="shared" si="13"/>
        <v>Ναυπακτίας</v>
      </c>
    </row>
    <row r="104" spans="1:15" x14ac:dyDescent="0.3">
      <c r="A104" s="203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201" t="s">
        <v>682</v>
      </c>
      <c r="G104" s="201">
        <v>13982</v>
      </c>
      <c r="H104" t="str">
        <f>_xlfn.IFNA(INDEX(DimosNaiOxi,MATCH(ΤΚ!E104,DimosNai,0)),"")</f>
        <v>ΝΑΙ</v>
      </c>
      <c r="I104" t="str">
        <f>LOOKUP(B104,ΠΕΡΙΦΕΡΕΙΑ!$A$2:$A$14,ΠΕΡΙΦΕΡΕΙΑ!$B$2:$B$14)</f>
        <v>Μερική</v>
      </c>
      <c r="J104">
        <f t="shared" si="11"/>
        <v>103</v>
      </c>
      <c r="K104" s="203">
        <f t="shared" si="8"/>
        <v>113</v>
      </c>
      <c r="L104" t="str">
        <f t="shared" si="9"/>
        <v>ΔΥΤΙΚΗΣ ΕΛΛΑΔΑΣ</v>
      </c>
      <c r="M104" t="str">
        <f t="shared" si="10"/>
        <v>ΔΥΤΙΚΗΣ ΕΛΛΑΔΑΣ - ΞΗΡΟΜΕΡΟΥ</v>
      </c>
      <c r="N104" s="201">
        <f t="shared" si="12"/>
        <v>14344</v>
      </c>
      <c r="O104" s="201" t="str">
        <f t="shared" si="13"/>
        <v>Ξηρομέρου</v>
      </c>
    </row>
    <row r="105" spans="1:15" x14ac:dyDescent="0.3">
      <c r="A105" s="203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201" t="s">
        <v>683</v>
      </c>
      <c r="G105" s="201">
        <v>14000</v>
      </c>
      <c r="H105" t="str">
        <f>_xlfn.IFNA(INDEX(DimosNaiOxi,MATCH(ΤΚ!E105,DimosNai,0)),"")</f>
        <v>ΝΑΙ</v>
      </c>
      <c r="I105" t="str">
        <f>LOOKUP(B105,ΠΕΡΙΦΕΡΕΙΑ!$A$2:$A$14,ΠΕΡΙΦΕΡΕΙΑ!$B$2:$B$14)</f>
        <v>Μερική</v>
      </c>
      <c r="J105">
        <f t="shared" si="11"/>
        <v>104</v>
      </c>
      <c r="K105" s="203">
        <f t="shared" si="8"/>
        <v>114</v>
      </c>
      <c r="L105" t="str">
        <f t="shared" si="9"/>
        <v>ΔΥΤΙΚΗΣ ΕΛΛΑΔΑΣ</v>
      </c>
      <c r="M105" t="str">
        <f t="shared" si="10"/>
        <v>ΔΥΤΙΚΗΣ ΕΛΛΑΔΑΣ - ΠΑΤΡΕΩΝ</v>
      </c>
      <c r="N105" s="201">
        <f t="shared" si="12"/>
        <v>14366</v>
      </c>
      <c r="O105" s="201" t="str">
        <f t="shared" si="13"/>
        <v>Πατρέων</v>
      </c>
    </row>
    <row r="106" spans="1:15" x14ac:dyDescent="0.3">
      <c r="A106" s="203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201" t="s">
        <v>684</v>
      </c>
      <c r="G106" s="201">
        <v>14072</v>
      </c>
      <c r="H106" t="str">
        <f>_xlfn.IFNA(INDEX(DimosNaiOxi,MATCH(ΤΚ!E106,DimosNai,0)),"")</f>
        <v>ΝΑΙ</v>
      </c>
      <c r="I106" t="str">
        <f>LOOKUP(B106,ΠΕΡΙΦΕΡΕΙΑ!$A$2:$A$14,ΠΕΡΙΦΕΡΕΙΑ!$B$2:$B$14)</f>
        <v>Μερική</v>
      </c>
      <c r="J106">
        <f t="shared" si="11"/>
        <v>105</v>
      </c>
      <c r="K106" s="203">
        <f t="shared" si="8"/>
        <v>115</v>
      </c>
      <c r="L106" t="str">
        <f t="shared" si="9"/>
        <v>ΔΥΤΙΚΗΣ ΕΛΛΑΔΑΣ</v>
      </c>
      <c r="M106" t="str">
        <f t="shared" si="10"/>
        <v>ΔΥΤΙΚΗΣ ΕΛΛΑΔΑΣ - ΠΗΝΕΙΟΥ</v>
      </c>
      <c r="N106" s="201">
        <f t="shared" si="12"/>
        <v>14410</v>
      </c>
      <c r="O106" s="201" t="str">
        <f t="shared" si="13"/>
        <v>Πηνειού</v>
      </c>
    </row>
    <row r="107" spans="1:15" x14ac:dyDescent="0.3">
      <c r="A107" s="203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201" t="s">
        <v>685</v>
      </c>
      <c r="G107" s="201">
        <v>14098</v>
      </c>
      <c r="H107" t="str">
        <f>_xlfn.IFNA(INDEX(DimosNaiOxi,MATCH(ΤΚ!E107,DimosNai,0)),"")</f>
        <v>ΝΑΙ</v>
      </c>
      <c r="I107" t="str">
        <f>LOOKUP(B107,ΠΕΡΙΦΕΡΕΙΑ!$A$2:$A$14,ΠΕΡΙΦΕΡΕΙΑ!$B$2:$B$14)</f>
        <v>Μερική</v>
      </c>
      <c r="J107">
        <f t="shared" si="11"/>
        <v>106</v>
      </c>
      <c r="K107" s="203">
        <f t="shared" si="8"/>
        <v>116</v>
      </c>
      <c r="L107" t="str">
        <f t="shared" si="9"/>
        <v>ΔΥΤΙΚΗΣ ΕΛΛΑΔΑΣ</v>
      </c>
      <c r="M107" t="str">
        <f t="shared" si="10"/>
        <v>ΔΥΤΙΚΗΣ ΕΛΛΑΔΑΣ - ΠΥΡΓΟΥ</v>
      </c>
      <c r="N107" s="201">
        <f t="shared" si="12"/>
        <v>14376</v>
      </c>
      <c r="O107" s="201" t="str">
        <f t="shared" si="13"/>
        <v>Πύργου</v>
      </c>
    </row>
    <row r="108" spans="1:15" x14ac:dyDescent="0.3">
      <c r="A108" s="203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201" t="s">
        <v>686</v>
      </c>
      <c r="G108" s="201">
        <v>14110</v>
      </c>
      <c r="H108" t="str">
        <f>_xlfn.IFNA(INDEX(DimosNaiOxi,MATCH(ΤΚ!E108,DimosNai,0)),"")</f>
        <v>ΝΑΙ</v>
      </c>
      <c r="I108" t="str">
        <f>LOOKUP(B108,ΠΕΡΙΦΕΡΕΙΑ!$A$2:$A$14,ΠΕΡΙΦΕΡΕΙΑ!$B$2:$B$14)</f>
        <v>Μερική</v>
      </c>
      <c r="J108">
        <f t="shared" si="11"/>
        <v>107</v>
      </c>
      <c r="K108" s="203">
        <f t="shared" si="8"/>
        <v>117</v>
      </c>
      <c r="L108" t="str">
        <f t="shared" si="9"/>
        <v>ΔΥΤΙΚΗΣ ΜΑΚΕΔΟΝΙΑΣ</v>
      </c>
      <c r="M108" t="str">
        <f t="shared" si="10"/>
        <v>ΔΥΤΙΚΗΣ ΜΑΚΕΔΟΝΙΑΣ - ΑΜΥΝΤΑΙΟΥ</v>
      </c>
      <c r="N108" s="201">
        <f t="shared" si="12"/>
        <v>13970</v>
      </c>
      <c r="O108" s="201" t="str">
        <f t="shared" si="13"/>
        <v>Αμυνταίου</v>
      </c>
    </row>
    <row r="109" spans="1:15" x14ac:dyDescent="0.3">
      <c r="A109" s="203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201" t="s">
        <v>687</v>
      </c>
      <c r="G109" s="201">
        <v>14118</v>
      </c>
      <c r="H109" t="str">
        <f>_xlfn.IFNA(INDEX(DimosNaiOxi,MATCH(ΤΚ!E109,DimosNai,0)),"")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203">
        <f t="shared" si="8"/>
        <v>118</v>
      </c>
      <c r="L109" t="str">
        <f t="shared" si="9"/>
        <v>ΔΥΤΙΚΗΣ ΜΑΚΕΔΟΝΙΑΣ</v>
      </c>
      <c r="M109" t="str">
        <f t="shared" si="10"/>
        <v>ΔΥΤΙΚΗΣ ΜΑΚΕΔΟΝΙΑΣ - ΒΟΪΟΥ</v>
      </c>
      <c r="N109" s="201">
        <f t="shared" si="12"/>
        <v>14028</v>
      </c>
      <c r="O109" s="201" t="str">
        <f t="shared" si="13"/>
        <v>Βοϊου</v>
      </c>
    </row>
    <row r="110" spans="1:15" x14ac:dyDescent="0.3">
      <c r="A110" s="203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201" t="s">
        <v>688</v>
      </c>
      <c r="G110" s="201">
        <v>14136</v>
      </c>
      <c r="H110" t="str">
        <f>_xlfn.IFNA(INDEX(DimosNaiOxi,MATCH(ΤΚ!E110,DimosNai,0)),"")</f>
        <v>ΝΑΙ</v>
      </c>
      <c r="I110" t="str">
        <f>LOOKUP(B110,ΠΕΡΙΦΕΡΕΙΑ!$A$2:$A$14,ΠΕΡΙΦΕΡΕΙΑ!$B$2:$B$14)</f>
        <v>Μερική</v>
      </c>
      <c r="J110">
        <f t="shared" si="11"/>
        <v>109</v>
      </c>
      <c r="K110" s="203">
        <f t="shared" si="8"/>
        <v>119</v>
      </c>
      <c r="L110" t="str">
        <f t="shared" si="9"/>
        <v>ΔΥΤΙΚΗΣ ΜΑΚΕΔΟΝΙΑΣ</v>
      </c>
      <c r="M110" t="str">
        <f t="shared" si="10"/>
        <v>ΔΥΤΙΚΗΣ ΜΑΚΕΔΟΝΙΑΣ - ΓΡΕΒΕΝΩΝ</v>
      </c>
      <c r="N110" s="201">
        <f t="shared" si="12"/>
        <v>14038</v>
      </c>
      <c r="O110" s="201" t="str">
        <f t="shared" si="13"/>
        <v>Γρεβενών</v>
      </c>
    </row>
    <row r="111" spans="1:15" x14ac:dyDescent="0.3">
      <c r="A111" s="203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201" t="s">
        <v>689</v>
      </c>
      <c r="G111" s="201">
        <v>14142</v>
      </c>
      <c r="H111" t="str">
        <f>_xlfn.IFNA(INDEX(DimosNaiOxi,MATCH(ΤΚ!E111,DimosNai,0)),"")</f>
        <v>ΝΑΙ</v>
      </c>
      <c r="I111" t="str">
        <f>LOOKUP(B111,ΠΕΡΙΦΕΡΕΙΑ!$A$2:$A$14,ΠΕΡΙΦΕΡΕΙΑ!$B$2:$B$14)</f>
        <v>Μερική</v>
      </c>
      <c r="J111">
        <f t="shared" si="11"/>
        <v>110</v>
      </c>
      <c r="K111" s="203">
        <f t="shared" si="8"/>
        <v>120</v>
      </c>
      <c r="L111" t="str">
        <f t="shared" si="9"/>
        <v>ΔΥΤΙΚΗΣ ΜΑΚΕΔΟΝΙΑΣ</v>
      </c>
      <c r="M111" t="str">
        <f t="shared" si="10"/>
        <v>ΔΥΤΙΚΗΣ ΜΑΚΕΔΟΝΙΑΣ - ΔΕΣΚΑΤΗΣ</v>
      </c>
      <c r="N111" s="201">
        <f t="shared" si="12"/>
        <v>14054</v>
      </c>
      <c r="O111" s="201" t="str">
        <f t="shared" si="13"/>
        <v>Δεσκάτης</v>
      </c>
    </row>
    <row r="112" spans="1:15" x14ac:dyDescent="0.3">
      <c r="A112" s="203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201" t="s">
        <v>690</v>
      </c>
      <c r="G112" s="201">
        <v>14174</v>
      </c>
      <c r="H112" t="str">
        <f>_xlfn.IFNA(INDEX(DimosNaiOxi,MATCH(ΤΚ!E112,DimosNai,0)),"")</f>
        <v>ΝΑΙ</v>
      </c>
      <c r="I112" t="str">
        <f>LOOKUP(B112,ΠΕΡΙΦΕΡΕΙΑ!$A$2:$A$14,ΠΕΡΙΦΕΡΕΙΑ!$B$2:$B$14)</f>
        <v>Μερική</v>
      </c>
      <c r="J112">
        <f t="shared" si="11"/>
        <v>111</v>
      </c>
      <c r="K112" s="203">
        <f t="shared" si="8"/>
        <v>121</v>
      </c>
      <c r="L112" t="str">
        <f t="shared" si="9"/>
        <v>ΔΥΤΙΚΗΣ ΜΑΚΕΔΟΝΙΑΣ</v>
      </c>
      <c r="M112" t="str">
        <f t="shared" si="10"/>
        <v>ΔΥΤΙΚΗΣ ΜΑΚΕΔΟΝΙΑΣ - ΕΟΡΔΑΙΑΣ</v>
      </c>
      <c r="N112" s="201">
        <f t="shared" si="12"/>
        <v>14090</v>
      </c>
      <c r="O112" s="201" t="str">
        <f t="shared" si="13"/>
        <v>Εορδαίας</v>
      </c>
    </row>
    <row r="113" spans="1:15" x14ac:dyDescent="0.3">
      <c r="A113" s="203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201" t="s">
        <v>691</v>
      </c>
      <c r="G113" s="201">
        <v>14312</v>
      </c>
      <c r="H113" t="str">
        <f>_xlfn.IFNA(INDEX(DimosNaiOxi,MATCH(ΤΚ!E113,DimosNai,0)),"")</f>
        <v>ΝΑΙ</v>
      </c>
      <c r="I113" t="str">
        <f>LOOKUP(B113,ΠΕΡΙΦΕΡΕΙΑ!$A$2:$A$14,ΠΕΡΙΦΕΡΕΙΑ!$B$2:$B$14)</f>
        <v>Μερική</v>
      </c>
      <c r="J113">
        <f t="shared" si="11"/>
        <v>112</v>
      </c>
      <c r="K113" s="203">
        <f t="shared" si="8"/>
        <v>122</v>
      </c>
      <c r="L113" t="str">
        <f t="shared" si="9"/>
        <v>ΔΥΤΙΚΗΣ ΜΑΚΕΔΟΝΙΑΣ</v>
      </c>
      <c r="M113" t="str">
        <f t="shared" si="10"/>
        <v>ΔΥΤΙΚΗΣ ΜΑΚΕΔΟΝΙΑΣ - ΚΑΣΤΟΡΙΑΣ</v>
      </c>
      <c r="N113" s="201">
        <f t="shared" si="12"/>
        <v>14160</v>
      </c>
      <c r="O113" s="201" t="str">
        <f t="shared" si="13"/>
        <v>Καστοριάς</v>
      </c>
    </row>
    <row r="114" spans="1:15" x14ac:dyDescent="0.3">
      <c r="A114" s="203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201" t="s">
        <v>692</v>
      </c>
      <c r="G114" s="201">
        <v>14344</v>
      </c>
      <c r="H114" t="str">
        <f>_xlfn.IFNA(INDEX(DimosNaiOxi,MATCH(ΤΚ!E114,DimosNai,0)),"")</f>
        <v>ΝΑΙ</v>
      </c>
      <c r="I114" t="str">
        <f>LOOKUP(B114,ΠΕΡΙΦΕΡΕΙΑ!$A$2:$A$14,ΠΕΡΙΦΕΡΕΙΑ!$B$2:$B$14)</f>
        <v>Μερική</v>
      </c>
      <c r="J114">
        <f t="shared" si="11"/>
        <v>113</v>
      </c>
      <c r="K114" s="203">
        <f t="shared" si="8"/>
        <v>123</v>
      </c>
      <c r="L114" t="str">
        <f t="shared" si="9"/>
        <v>ΔΥΤΙΚΗΣ ΜΑΚΕΔΟΝΙΑΣ</v>
      </c>
      <c r="M114" t="str">
        <f t="shared" si="10"/>
        <v>ΔΥΤΙΚΗΣ ΜΑΚΕΔΟΝΙΑΣ - ΚΟΖΑΝΗΣ</v>
      </c>
      <c r="N114" s="201">
        <f t="shared" si="12"/>
        <v>14218</v>
      </c>
      <c r="O114" s="201" t="str">
        <f t="shared" si="13"/>
        <v>Κοζάνης</v>
      </c>
    </row>
    <row r="115" spans="1:15" x14ac:dyDescent="0.3">
      <c r="A115" s="203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201" t="s">
        <v>693</v>
      </c>
      <c r="G115" s="201">
        <v>14366</v>
      </c>
      <c r="H115" t="str">
        <f>_xlfn.IFNA(INDEX(DimosNaiOxi,MATCH(ΤΚ!E115,DimosNai,0)),"")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203">
        <f t="shared" si="8"/>
        <v>125</v>
      </c>
      <c r="L115" t="str">
        <f t="shared" si="9"/>
        <v>ΔΥΤΙΚΗΣ ΜΑΚΕΔΟΝΙΑΣ</v>
      </c>
      <c r="M115" t="str">
        <f t="shared" si="10"/>
        <v>ΔΥΤΙΚΗΣ ΜΑΚΕΔΟΝΙΑΣ - ΟΡΕΣΤΙΔΟΣ</v>
      </c>
      <c r="N115" s="201">
        <f t="shared" si="12"/>
        <v>14354</v>
      </c>
      <c r="O115" s="201" t="str">
        <f t="shared" si="13"/>
        <v>Ορεστίδος</v>
      </c>
    </row>
    <row r="116" spans="1:15" x14ac:dyDescent="0.3">
      <c r="A116" s="203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201" t="s">
        <v>694</v>
      </c>
      <c r="G116" s="201">
        <v>14410</v>
      </c>
      <c r="H116" t="str">
        <f>_xlfn.IFNA(INDEX(DimosNaiOxi,MATCH(ΤΚ!E116,DimosNai,0)),"")</f>
        <v>ΝΑΙ</v>
      </c>
      <c r="I116" t="str">
        <f>LOOKUP(B116,ΠΕΡΙΦΕΡΕΙΑ!$A$2:$A$14,ΠΕΡΙΦΕΡΕΙΑ!$B$2:$B$14)</f>
        <v>Μερική</v>
      </c>
      <c r="J116">
        <f t="shared" si="11"/>
        <v>115</v>
      </c>
      <c r="K116" s="203">
        <f t="shared" si="8"/>
        <v>126</v>
      </c>
      <c r="L116" t="str">
        <f t="shared" si="9"/>
        <v>ΔΥΤΙΚΗΣ ΜΑΚΕΔΟΝΙΑΣ</v>
      </c>
      <c r="M116" t="str">
        <f t="shared" si="10"/>
        <v>ΔΥΤΙΚΗΣ ΜΑΚΕΔΟΝΙΑΣ - ΠΡΕΣΠΩΝ</v>
      </c>
      <c r="N116" s="201">
        <f t="shared" si="12"/>
        <v>14372</v>
      </c>
      <c r="O116" s="201" t="str">
        <f t="shared" si="13"/>
        <v>Πρεσπών</v>
      </c>
    </row>
    <row r="117" spans="1:15" x14ac:dyDescent="0.3">
      <c r="A117" s="203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201" t="s">
        <v>695</v>
      </c>
      <c r="G117" s="201">
        <v>14376</v>
      </c>
      <c r="H117" t="str">
        <f>_xlfn.IFNA(INDEX(DimosNaiOxi,MATCH(ΤΚ!E117,DimosNai,0)),"")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203">
        <f t="shared" si="8"/>
        <v>127</v>
      </c>
      <c r="L117" t="str">
        <f t="shared" si="9"/>
        <v>ΔΥΤΙΚΗΣ ΜΑΚΕΔΟΝΙΑΣ</v>
      </c>
      <c r="M117" t="str">
        <f t="shared" si="10"/>
        <v>ΔΥΤΙΚΗΣ ΜΑΚΕΔΟΝΙΑΣ - ΣΕΡΒΙΩΝ – ΒΕΛΒΕΝΤΟΥ</v>
      </c>
      <c r="N117" s="201">
        <f t="shared" si="12"/>
        <v>14438</v>
      </c>
      <c r="O117" s="201" t="str">
        <f t="shared" si="13"/>
        <v>Σερβίων - Βελβεντού</v>
      </c>
    </row>
    <row r="118" spans="1:15" x14ac:dyDescent="0.3">
      <c r="A118" s="203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201" t="s">
        <v>696</v>
      </c>
      <c r="G118" s="201">
        <v>13970</v>
      </c>
      <c r="H118" t="str">
        <f>_xlfn.IFNA(INDEX(DimosNaiOxi,MATCH(ΤΚ!E118,DimosNai,0)),"")</f>
        <v>ΝΑΙ</v>
      </c>
      <c r="I118" t="str">
        <f>LOOKUP(B118,ΠΕΡΙΦΕΡΕΙΑ!$A$2:$A$14,ΠΕΡΙΦΕΡΕΙΑ!$B$2:$B$14)</f>
        <v>Μερική</v>
      </c>
      <c r="J118">
        <f t="shared" si="11"/>
        <v>117</v>
      </c>
      <c r="K118" s="203">
        <f t="shared" si="8"/>
        <v>128</v>
      </c>
      <c r="L118" t="str">
        <f t="shared" si="9"/>
        <v>ΔΥΤΙΚΗΣ ΜΑΚΕΔΟΝΙΑΣ</v>
      </c>
      <c r="M118" t="str">
        <f t="shared" si="10"/>
        <v>ΔΥΤΙΚΗΣ ΜΑΚΕΔΟΝΙΑΣ - ΦΛΩΡΙΝΑΣ</v>
      </c>
      <c r="N118" s="201">
        <f t="shared" si="12"/>
        <v>14520</v>
      </c>
      <c r="O118" s="201" t="str">
        <f t="shared" si="13"/>
        <v>Φλώρινας</v>
      </c>
    </row>
    <row r="119" spans="1:15" x14ac:dyDescent="0.3">
      <c r="A119" s="203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201" t="s">
        <v>697</v>
      </c>
      <c r="G119" s="201">
        <v>14028</v>
      </c>
      <c r="H119" t="str">
        <f>_xlfn.IFNA(INDEX(DimosNaiOxi,MATCH(ΤΚ!E119,DimosNai,0)),"")</f>
        <v>ΝΑΙ</v>
      </c>
      <c r="I119" t="str">
        <f>LOOKUP(B119,ΠΕΡΙΦΕΡΕΙΑ!$A$2:$A$14,ΠΕΡΙΦΕΡΕΙΑ!$B$2:$B$14)</f>
        <v>Μερική</v>
      </c>
      <c r="J119">
        <f t="shared" si="11"/>
        <v>118</v>
      </c>
      <c r="K119" s="203">
        <f t="shared" si="8"/>
        <v>129</v>
      </c>
      <c r="L119" t="str">
        <f t="shared" si="9"/>
        <v>ΗΠΕΙΡΟΥ</v>
      </c>
      <c r="M119" t="str">
        <f t="shared" si="10"/>
        <v>ΗΠΕΙΡΟΥ - ΑΡΤΑΙΩΝ</v>
      </c>
      <c r="N119" s="201">
        <f t="shared" si="12"/>
        <v>13998</v>
      </c>
      <c r="O119" s="201" t="str">
        <f t="shared" si="13"/>
        <v>Αρταίων</v>
      </c>
    </row>
    <row r="120" spans="1:15" x14ac:dyDescent="0.3">
      <c r="A120" s="203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201" t="s">
        <v>698</v>
      </c>
      <c r="G120" s="201">
        <v>14038</v>
      </c>
      <c r="H120" t="str">
        <f>_xlfn.IFNA(INDEX(DimosNaiOxi,MATCH(ΤΚ!E120,DimosNai,0)),"")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203">
        <f t="shared" si="8"/>
        <v>130</v>
      </c>
      <c r="L120" t="str">
        <f t="shared" si="9"/>
        <v>ΗΠΕΙΡΟΥ</v>
      </c>
      <c r="M120" t="str">
        <f t="shared" si="10"/>
        <v>ΗΠΕΙΡΟΥ - ΒΟΡΕΙΩΝ ΤΖΟΥΜΕΡΚΩΝ</v>
      </c>
      <c r="N120" s="201">
        <f t="shared" si="12"/>
        <v>14022</v>
      </c>
      <c r="O120" s="201" t="str">
        <f t="shared" si="13"/>
        <v>Βορείων Τζουμέρκων</v>
      </c>
    </row>
    <row r="121" spans="1:15" x14ac:dyDescent="0.3">
      <c r="A121" s="203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201" t="s">
        <v>699</v>
      </c>
      <c r="G121" s="201">
        <v>14054</v>
      </c>
      <c r="H121" t="str">
        <f>_xlfn.IFNA(INDEX(DimosNaiOxi,MATCH(ΤΚ!E121,DimosNai,0)),"")</f>
        <v>ΝΑΙ</v>
      </c>
      <c r="I121" t="str">
        <f>LOOKUP(B121,ΠΕΡΙΦΕΡΕΙΑ!$A$2:$A$14,ΠΕΡΙΦΕΡΕΙΑ!$B$2:$B$14)</f>
        <v>Μερική</v>
      </c>
      <c r="J121">
        <f t="shared" si="11"/>
        <v>120</v>
      </c>
      <c r="K121" s="203">
        <f t="shared" si="8"/>
        <v>131</v>
      </c>
      <c r="L121" t="str">
        <f t="shared" si="9"/>
        <v>ΗΠΕΙΡΟΥ</v>
      </c>
      <c r="M121" t="str">
        <f t="shared" si="10"/>
        <v>ΗΠΕΙΡΟΥ - ΓΕΩΡΓΙΟΥ ΚΑΡΑΪΣΚΑΚΗ</v>
      </c>
      <c r="N121" s="201">
        <f t="shared" si="12"/>
        <v>14042</v>
      </c>
      <c r="O121" s="201" t="str">
        <f t="shared" si="13"/>
        <v>Γεωργίου Καραϊσκάκη</v>
      </c>
    </row>
    <row r="122" spans="1:15" x14ac:dyDescent="0.3">
      <c r="A122" s="203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201" t="s">
        <v>700</v>
      </c>
      <c r="G122" s="201">
        <v>14090</v>
      </c>
      <c r="H122" t="str">
        <f>_xlfn.IFNA(INDEX(DimosNaiOxi,MATCH(ΤΚ!E122,DimosNai,0)),"")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203">
        <f t="shared" si="8"/>
        <v>132</v>
      </c>
      <c r="L122" t="str">
        <f t="shared" si="9"/>
        <v>ΗΠΕΙΡΟΥ</v>
      </c>
      <c r="M122" t="str">
        <f t="shared" si="10"/>
        <v>ΗΠΕΙΡΟΥ - ΔΩΔΩΝΗΣ</v>
      </c>
      <c r="N122" s="201">
        <f t="shared" si="12"/>
        <v>14076</v>
      </c>
      <c r="O122" s="201" t="str">
        <f t="shared" si="13"/>
        <v>Δωδώνης</v>
      </c>
    </row>
    <row r="123" spans="1:15" x14ac:dyDescent="0.3">
      <c r="A123" s="203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201" t="s">
        <v>701</v>
      </c>
      <c r="G123" s="201">
        <v>14160</v>
      </c>
      <c r="H123" t="str">
        <f>_xlfn.IFNA(INDEX(DimosNaiOxi,MATCH(ΤΚ!E123,DimosNai,0)),"")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203">
        <f t="shared" si="8"/>
        <v>134</v>
      </c>
      <c r="L123" t="str">
        <f t="shared" si="9"/>
        <v>ΗΠΕΙΡΟΥ</v>
      </c>
      <c r="M123" t="str">
        <f t="shared" si="10"/>
        <v>ΗΠΕΙΡΟΥ - ΖΗΡΟΥ</v>
      </c>
      <c r="N123" s="201">
        <f t="shared" si="12"/>
        <v>14112</v>
      </c>
      <c r="O123" s="201" t="str">
        <f t="shared" si="13"/>
        <v>Ζηρού</v>
      </c>
    </row>
    <row r="124" spans="1:15" x14ac:dyDescent="0.3">
      <c r="A124" s="203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201" t="s">
        <v>702</v>
      </c>
      <c r="G124" s="201">
        <v>14218</v>
      </c>
      <c r="H124" t="str">
        <f>_xlfn.IFNA(INDEX(DimosNaiOxi,MATCH(ΤΚ!E124,DimosNai,0)),"")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203">
        <f t="shared" si="8"/>
        <v>135</v>
      </c>
      <c r="L124" t="str">
        <f t="shared" si="9"/>
        <v>ΗΠΕΙΡΟΥ</v>
      </c>
      <c r="M124" t="str">
        <f t="shared" si="10"/>
        <v>ΗΠΕΙΡΟΥ - ΖΙΤΣΑΣ</v>
      </c>
      <c r="N124" s="201">
        <f t="shared" si="12"/>
        <v>14114</v>
      </c>
      <c r="O124" s="201" t="str">
        <f t="shared" si="13"/>
        <v>Ζίτσας</v>
      </c>
    </row>
    <row r="125" spans="1:15" x14ac:dyDescent="0.3">
      <c r="A125" s="203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201" t="s">
        <v>703</v>
      </c>
      <c r="G125" s="201">
        <v>14324</v>
      </c>
      <c r="H125" t="str">
        <f>_xlfn.IFNA(INDEX(DimosNaiOxi,MATCH(ΤΚ!E125,DimosNai,0)),"")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203">
        <f t="shared" si="8"/>
        <v>136</v>
      </c>
      <c r="L125" t="str">
        <f t="shared" si="9"/>
        <v>ΗΠΕΙΡΟΥ</v>
      </c>
      <c r="M125" t="str">
        <f t="shared" si="10"/>
        <v>ΗΠΕΙΡΟΥ - ΗΓΟΥΜΕΝΙΤΣΑΣ</v>
      </c>
      <c r="N125" s="201">
        <f t="shared" si="12"/>
        <v>14106</v>
      </c>
      <c r="O125" s="201" t="str">
        <f t="shared" si="13"/>
        <v>Ηγουμενίτσας</v>
      </c>
    </row>
    <row r="126" spans="1:15" x14ac:dyDescent="0.3">
      <c r="A126" s="203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201" t="s">
        <v>704</v>
      </c>
      <c r="G126" s="201">
        <v>14354</v>
      </c>
      <c r="H126" t="str">
        <f>_xlfn.IFNA(INDEX(DimosNaiOxi,MATCH(ΤΚ!E126,DimosNai,0)),"")</f>
        <v>ΝΑΙ</v>
      </c>
      <c r="I126" t="str">
        <f>LOOKUP(B126,ΠΕΡΙΦΕΡΕΙΑ!$A$2:$A$14,ΠΕΡΙΦΕΡΕΙΑ!$B$2:$B$14)</f>
        <v>Μερική</v>
      </c>
      <c r="J126">
        <f t="shared" si="11"/>
        <v>125</v>
      </c>
      <c r="K126" s="203">
        <f t="shared" si="8"/>
        <v>137</v>
      </c>
      <c r="L126" t="str">
        <f t="shared" si="9"/>
        <v>ΗΠΕΙΡΟΥ</v>
      </c>
      <c r="M126" t="str">
        <f t="shared" si="10"/>
        <v>ΗΠΕΙΡΟΥ - ΙΩΑΝΝΙΤΩΝ</v>
      </c>
      <c r="N126" s="201">
        <f t="shared" si="12"/>
        <v>14154</v>
      </c>
      <c r="O126" s="201" t="str">
        <f t="shared" si="13"/>
        <v>Ιωαννιτών</v>
      </c>
    </row>
    <row r="127" spans="1:15" x14ac:dyDescent="0.3">
      <c r="A127" s="203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201" t="s">
        <v>705</v>
      </c>
      <c r="G127" s="201">
        <v>14372</v>
      </c>
      <c r="H127" t="str">
        <f>_xlfn.IFNA(INDEX(DimosNaiOxi,MATCH(ΤΚ!E127,DimosNai,0)),"")</f>
        <v>ΝΑΙ</v>
      </c>
      <c r="I127" t="str">
        <f>LOOKUP(B127,ΠΕΡΙΦΕΡΕΙΑ!$A$2:$A$14,ΠΕΡΙΦΕΡΕΙΑ!$B$2:$B$14)</f>
        <v>Μερική</v>
      </c>
      <c r="J127">
        <f t="shared" si="11"/>
        <v>126</v>
      </c>
      <c r="K127" s="203">
        <f t="shared" si="8"/>
        <v>138</v>
      </c>
      <c r="L127" t="str">
        <f t="shared" si="9"/>
        <v>ΗΠΕΙΡΟΥ</v>
      </c>
      <c r="M127" t="str">
        <f t="shared" si="10"/>
        <v>ΗΠΕΙΡΟΥ - ΚΕΝΤΡΙΚΩΝ ΤΖΟΥΜΕΡΚΩΝ</v>
      </c>
      <c r="N127" s="201">
        <f t="shared" si="12"/>
        <v>14162</v>
      </c>
      <c r="O127" s="201" t="str">
        <f t="shared" si="13"/>
        <v>Κεντρικών Τζουμέρκων</v>
      </c>
    </row>
    <row r="128" spans="1:15" x14ac:dyDescent="0.3">
      <c r="A128" s="203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201" t="s">
        <v>706</v>
      </c>
      <c r="G128" s="201">
        <v>14438</v>
      </c>
      <c r="H128" t="str">
        <f>_xlfn.IFNA(INDEX(DimosNaiOxi,MATCH(ΤΚ!E128,DimosNai,0)),"")</f>
        <v>ΝΑΙ</v>
      </c>
      <c r="I128" t="str">
        <f>LOOKUP(B128,ΠΕΡΙΦΕΡΕΙΑ!$A$2:$A$14,ΠΕΡΙΦΕΡΕΙΑ!$B$2:$B$14)</f>
        <v>Μερική</v>
      </c>
      <c r="J128">
        <f t="shared" si="11"/>
        <v>127</v>
      </c>
      <c r="K128" s="203">
        <f t="shared" si="8"/>
        <v>139</v>
      </c>
      <c r="L128" t="str">
        <f t="shared" si="9"/>
        <v>ΗΠΕΙΡΟΥ</v>
      </c>
      <c r="M128" t="str">
        <f t="shared" si="10"/>
        <v>ΗΠΕΙΡΟΥ - ΚΟΝΙΤΣΑΣ</v>
      </c>
      <c r="N128" s="201">
        <f t="shared" si="12"/>
        <v>14222</v>
      </c>
      <c r="O128" s="201" t="str">
        <f t="shared" si="13"/>
        <v>Κόνιτσας</v>
      </c>
    </row>
    <row r="129" spans="1:15" x14ac:dyDescent="0.3">
      <c r="A129" s="203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201" t="s">
        <v>707</v>
      </c>
      <c r="G129" s="201">
        <v>14520</v>
      </c>
      <c r="H129" t="str">
        <f>_xlfn.IFNA(INDEX(DimosNaiOxi,MATCH(ΤΚ!E129,DimosNai,0)),"")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203">
        <f t="shared" si="8"/>
        <v>140</v>
      </c>
      <c r="L129" t="str">
        <f t="shared" si="9"/>
        <v>ΗΠΕΙΡΟΥ</v>
      </c>
      <c r="M129" t="str">
        <f t="shared" si="10"/>
        <v>ΗΠΕΙΡΟΥ - ΜΕΤΣΟΒΟΥ</v>
      </c>
      <c r="N129" s="201">
        <f t="shared" si="12"/>
        <v>14294</v>
      </c>
      <c r="O129" s="201" t="str">
        <f t="shared" si="13"/>
        <v>Μετσόβου</v>
      </c>
    </row>
    <row r="130" spans="1:15" x14ac:dyDescent="0.3">
      <c r="A130" s="203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201" t="s">
        <v>708</v>
      </c>
      <c r="G130" s="201">
        <v>13998</v>
      </c>
      <c r="H130" t="str">
        <f>_xlfn.IFNA(INDEX(DimosNaiOxi,MATCH(ΤΚ!E130,DimosNai,0)),"")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203">
        <f t="shared" ref="K130:K193" si="15">SMALL(J:J,A130)</f>
        <v>141</v>
      </c>
      <c r="L130" t="str">
        <f t="shared" ref="L130:L193" si="16">IF(ISNUMBER(K130),LOOKUP(K130,A:A,B:B),"")</f>
        <v>ΗΠΕΙΡΟΥ</v>
      </c>
      <c r="M130" t="str">
        <f t="shared" ref="M130:M193" si="17">IF(ISNUMBER(K130),LOOKUP(K130,A:A,B:B)&amp;" - "&amp;LOOKUP(K130,A:A,D:D),"")</f>
        <v>ΗΠΕΙΡΟΥ - ΝΙΚΟΛΑΟΥ ΣΚΟΥΦΑ</v>
      </c>
      <c r="N130" s="201">
        <f t="shared" si="12"/>
        <v>14326</v>
      </c>
      <c r="O130" s="201" t="str">
        <f t="shared" si="13"/>
        <v>Νικολάου Σκουφά</v>
      </c>
    </row>
    <row r="131" spans="1:15" x14ac:dyDescent="0.3">
      <c r="A131" s="203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201" t="s">
        <v>709</v>
      </c>
      <c r="G131" s="201">
        <v>14022</v>
      </c>
      <c r="H131" t="str">
        <f>_xlfn.IFNA(INDEX(DimosNaiOxi,MATCH(ΤΚ!E131,DimosNai,0)),"")</f>
        <v>ΝΑΙ</v>
      </c>
      <c r="I131" t="str">
        <f>LOOKUP(B131,ΠΕΡΙΦΕΡΕΙΑ!$A$2:$A$14,ΠΕΡΙΦΕΡΕΙΑ!$B$2:$B$14)</f>
        <v>Μερική</v>
      </c>
      <c r="J131">
        <f t="shared" ref="J131:J194" si="18">IF(OR(AND(I131="Μερική",H131="ΝΑΙ"),I131="Ολική"),A131,"")</f>
        <v>130</v>
      </c>
      <c r="K131" s="203">
        <f t="shared" si="15"/>
        <v>143</v>
      </c>
      <c r="L131" t="str">
        <f t="shared" si="16"/>
        <v>ΗΠΕΙΡΟΥ</v>
      </c>
      <c r="M131" t="str">
        <f t="shared" si="17"/>
        <v>ΗΠΕΙΡΟΥ - ΠΡΕΒΕΖΑΣ</v>
      </c>
      <c r="N131" s="201">
        <f t="shared" ref="N131:N194" si="19">IF(ISNUMBER(K131),LOOKUP(K131,A:A,G:G),"")</f>
        <v>14418</v>
      </c>
      <c r="O131" s="201" t="str">
        <f t="shared" ref="O131:O194" si="20">IF(ISNUMBER(K131),LOOKUP(K131,A:A,F:F),"")</f>
        <v>Πρέβεζας</v>
      </c>
    </row>
    <row r="132" spans="1:15" x14ac:dyDescent="0.3">
      <c r="A132" s="203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201" t="s">
        <v>710</v>
      </c>
      <c r="G132" s="201">
        <v>14042</v>
      </c>
      <c r="H132" t="str">
        <f>_xlfn.IFNA(INDEX(DimosNaiOxi,MATCH(ΤΚ!E132,DimosNai,0)),"")</f>
        <v>ΝΑΙ</v>
      </c>
      <c r="I132" t="str">
        <f>LOOKUP(B132,ΠΕΡΙΦΕΡΕΙΑ!$A$2:$A$14,ΠΕΡΙΦΕΡΕΙΑ!$B$2:$B$14)</f>
        <v>Μερική</v>
      </c>
      <c r="J132">
        <f t="shared" si="18"/>
        <v>131</v>
      </c>
      <c r="K132" s="203">
        <f t="shared" si="15"/>
        <v>145</v>
      </c>
      <c r="L132" t="str">
        <f t="shared" si="16"/>
        <v>ΗΠΕΙΡΟΥ</v>
      </c>
      <c r="M132" t="str">
        <f t="shared" si="17"/>
        <v>ΗΠΕΙΡΟΥ - ΣΟΥΛΙΟΥ</v>
      </c>
      <c r="N132" s="201">
        <f t="shared" si="19"/>
        <v>14468</v>
      </c>
      <c r="O132" s="201" t="str">
        <f t="shared" si="20"/>
        <v>Σουλίου</v>
      </c>
    </row>
    <row r="133" spans="1:15" x14ac:dyDescent="0.3">
      <c r="A133" s="203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201" t="s">
        <v>711</v>
      </c>
      <c r="G133" s="201">
        <v>14076</v>
      </c>
      <c r="H133" t="str">
        <f>_xlfn.IFNA(INDEX(DimosNaiOxi,MATCH(ΤΚ!E133,DimosNai,0)),"")</f>
        <v>ΝΑΙ</v>
      </c>
      <c r="I133" t="str">
        <f>LOOKUP(B133,ΠΕΡΙΦΕΡΕΙΑ!$A$2:$A$14,ΠΕΡΙΦΕΡΕΙΑ!$B$2:$B$14)</f>
        <v>Μερική</v>
      </c>
      <c r="J133">
        <f t="shared" si="18"/>
        <v>132</v>
      </c>
      <c r="K133" s="203">
        <f t="shared" si="15"/>
        <v>146</v>
      </c>
      <c r="L133" t="str">
        <f t="shared" si="16"/>
        <v>ΗΠΕΙΡΟΥ</v>
      </c>
      <c r="M133" t="str">
        <f t="shared" si="17"/>
        <v>ΗΠΕΙΡΟΥ - ΦΙΛΙΑΤΩΝ</v>
      </c>
      <c r="N133" s="201">
        <f t="shared" si="19"/>
        <v>14516</v>
      </c>
      <c r="O133" s="201" t="str">
        <f t="shared" si="20"/>
        <v>Φιλιατών</v>
      </c>
    </row>
    <row r="134" spans="1:15" x14ac:dyDescent="0.3">
      <c r="A134" s="203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201" t="s">
        <v>712</v>
      </c>
      <c r="G134" s="201">
        <v>14104</v>
      </c>
      <c r="H134" t="str">
        <f>_xlfn.IFNA(INDEX(DimosNaiOxi,MATCH(ΤΚ!E134,DimosNai,0)),"")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203">
        <f t="shared" si="15"/>
        <v>147</v>
      </c>
      <c r="L134" t="str">
        <f t="shared" si="16"/>
        <v>ΘΕΣΣΑΛΙΑΣ</v>
      </c>
      <c r="M134" t="str">
        <f t="shared" si="17"/>
        <v>ΘΕΣΣΑΛΙΑΣ - ΑΓΙΑΣ</v>
      </c>
      <c r="N134" s="201">
        <f t="shared" si="19"/>
        <v>13938</v>
      </c>
      <c r="O134" s="201" t="str">
        <f t="shared" si="20"/>
        <v>Αγιάς</v>
      </c>
    </row>
    <row r="135" spans="1:15" x14ac:dyDescent="0.3">
      <c r="A135" s="203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201" t="s">
        <v>713</v>
      </c>
      <c r="G135" s="201">
        <v>14112</v>
      </c>
      <c r="H135" t="str">
        <f>_xlfn.IFNA(INDEX(DimosNaiOxi,MATCH(ΤΚ!E135,DimosNai,0)),"")</f>
        <v>ΝΑΙ</v>
      </c>
      <c r="I135" t="str">
        <f>LOOKUP(B135,ΠΕΡΙΦΕΡΕΙΑ!$A$2:$A$14,ΠΕΡΙΦΕΡΕΙΑ!$B$2:$B$14)</f>
        <v>Μερική</v>
      </c>
      <c r="J135">
        <f t="shared" si="18"/>
        <v>134</v>
      </c>
      <c r="K135" s="203">
        <f t="shared" si="15"/>
        <v>148</v>
      </c>
      <c r="L135" t="str">
        <f t="shared" si="16"/>
        <v>ΘΕΣΣΑΛΙΑΣ</v>
      </c>
      <c r="M135" t="str">
        <f t="shared" si="17"/>
        <v>ΘΕΣΣΑΛΙΑΣ - ΑΛΜΥΡΟΥ</v>
      </c>
      <c r="N135" s="201">
        <f t="shared" si="19"/>
        <v>13958</v>
      </c>
      <c r="O135" s="201" t="str">
        <f t="shared" si="20"/>
        <v>Αλμυρού</v>
      </c>
    </row>
    <row r="136" spans="1:15" x14ac:dyDescent="0.3">
      <c r="A136" s="203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201" t="s">
        <v>714</v>
      </c>
      <c r="G136" s="201">
        <v>14114</v>
      </c>
      <c r="H136" t="str">
        <f>_xlfn.IFNA(INDEX(DimosNaiOxi,MATCH(ΤΚ!E136,DimosNai,0)),"")</f>
        <v>ΝΑΙ</v>
      </c>
      <c r="I136" t="str">
        <f>LOOKUP(B136,ΠΕΡΙΦΕΡΕΙΑ!$A$2:$A$14,ΠΕΡΙΦΕΡΕΙΑ!$B$2:$B$14)</f>
        <v>Μερική</v>
      </c>
      <c r="J136">
        <f t="shared" si="18"/>
        <v>135</v>
      </c>
      <c r="K136" s="203">
        <f t="shared" si="15"/>
        <v>150</v>
      </c>
      <c r="L136" t="str">
        <f t="shared" si="16"/>
        <v>ΘΕΣΣΑΛΙΑΣ</v>
      </c>
      <c r="M136" t="str">
        <f t="shared" si="17"/>
        <v>ΘΕΣΣΑΛΙΑΣ - ΑΡΓΙΘΕΑΣ</v>
      </c>
      <c r="N136" s="201">
        <f t="shared" si="19"/>
        <v>13992</v>
      </c>
      <c r="O136" s="201" t="str">
        <f t="shared" si="20"/>
        <v>Αργιθέας</v>
      </c>
    </row>
    <row r="137" spans="1:15" x14ac:dyDescent="0.3">
      <c r="A137" s="203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201" t="s">
        <v>715</v>
      </c>
      <c r="G137" s="201">
        <v>14106</v>
      </c>
      <c r="H137" t="str">
        <f>_xlfn.IFNA(INDEX(DimosNaiOxi,MATCH(ΤΚ!E137,DimosNai,0)),"")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203">
        <f t="shared" si="15"/>
        <v>151</v>
      </c>
      <c r="L137" t="str">
        <f t="shared" si="16"/>
        <v>ΘΕΣΣΑΛΙΑΣ</v>
      </c>
      <c r="M137" t="str">
        <f t="shared" si="17"/>
        <v>ΘΕΣΣΑΛΙΑΣ - ΒΟΛΟΥ</v>
      </c>
      <c r="N137" s="201">
        <f t="shared" si="19"/>
        <v>14034</v>
      </c>
      <c r="O137" s="201" t="str">
        <f t="shared" si="20"/>
        <v>Βόλου</v>
      </c>
    </row>
    <row r="138" spans="1:15" x14ac:dyDescent="0.3">
      <c r="A138" s="203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201" t="s">
        <v>716</v>
      </c>
      <c r="G138" s="201">
        <v>14154</v>
      </c>
      <c r="H138" t="str">
        <f>_xlfn.IFNA(INDEX(DimosNaiOxi,MATCH(ΤΚ!E138,DimosNai,0)),"")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203">
        <f t="shared" si="15"/>
        <v>152</v>
      </c>
      <c r="L138" t="str">
        <f t="shared" si="16"/>
        <v>ΘΕΣΣΑΛΙΑΣ</v>
      </c>
      <c r="M138" t="str">
        <f t="shared" si="17"/>
        <v>ΘΕΣΣΑΛΙΑΣ - ΕΛΑΣΣΟΝΑΣ</v>
      </c>
      <c r="N138" s="201">
        <f t="shared" si="19"/>
        <v>14082</v>
      </c>
      <c r="O138" s="201" t="str">
        <f t="shared" si="20"/>
        <v>Ελασσόνας</v>
      </c>
    </row>
    <row r="139" spans="1:15" x14ac:dyDescent="0.3">
      <c r="A139" s="203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201" t="s">
        <v>717</v>
      </c>
      <c r="G139" s="201">
        <v>14162</v>
      </c>
      <c r="H139" t="str">
        <f>_xlfn.IFNA(INDEX(DimosNaiOxi,MATCH(ΤΚ!E139,DimosNai,0)),"")</f>
        <v>ΝΑΙ</v>
      </c>
      <c r="I139" t="str">
        <f>LOOKUP(B139,ΠΕΡΙΦΕΡΕΙΑ!$A$2:$A$14,ΠΕΡΙΦΕΡΕΙΑ!$B$2:$B$14)</f>
        <v>Μερική</v>
      </c>
      <c r="J139">
        <f t="shared" si="18"/>
        <v>138</v>
      </c>
      <c r="K139" s="203">
        <f t="shared" si="15"/>
        <v>153</v>
      </c>
      <c r="L139" t="str">
        <f t="shared" si="16"/>
        <v>ΘΕΣΣΑΛΙΑΣ</v>
      </c>
      <c r="M139" t="str">
        <f t="shared" si="17"/>
        <v>ΘΕΣΣΑΛΙΑΣ - ΖΑΓΟΡΑΣ – ΜΟΥΡΕΣΙΟΥ</v>
      </c>
      <c r="N139" s="201">
        <f t="shared" si="19"/>
        <v>14102</v>
      </c>
      <c r="O139" s="201" t="str">
        <f t="shared" si="20"/>
        <v>Ζαγοράς - Μουρεσίου</v>
      </c>
    </row>
    <row r="140" spans="1:15" x14ac:dyDescent="0.3">
      <c r="A140" s="203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201" t="s">
        <v>718</v>
      </c>
      <c r="G140" s="201">
        <v>14222</v>
      </c>
      <c r="H140" t="str">
        <f>_xlfn.IFNA(INDEX(DimosNaiOxi,MATCH(ΤΚ!E140,DimosNai,0)),"")</f>
        <v>ΝΑΙ</v>
      </c>
      <c r="I140" t="str">
        <f>LOOKUP(B140,ΠΕΡΙΦΕΡΕΙΑ!$A$2:$A$14,ΠΕΡΙΦΕΡΕΙΑ!$B$2:$B$14)</f>
        <v>Μερική</v>
      </c>
      <c r="J140">
        <f t="shared" si="18"/>
        <v>139</v>
      </c>
      <c r="K140" s="203">
        <f t="shared" si="15"/>
        <v>154</v>
      </c>
      <c r="L140" t="str">
        <f t="shared" si="16"/>
        <v>ΘΕΣΣΑΛΙΑΣ</v>
      </c>
      <c r="M140" t="str">
        <f t="shared" si="17"/>
        <v>ΘΕΣΣΑΛΙΑΣ - ΚΑΛΑΜΠΑΚΑΣ</v>
      </c>
      <c r="N140" s="201">
        <f t="shared" si="19"/>
        <v>14182</v>
      </c>
      <c r="O140" s="201" t="str">
        <f t="shared" si="20"/>
        <v>Καλαμπάκας</v>
      </c>
    </row>
    <row r="141" spans="1:15" x14ac:dyDescent="0.3">
      <c r="A141" s="203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201" t="s">
        <v>719</v>
      </c>
      <c r="G141" s="201">
        <v>14294</v>
      </c>
      <c r="H141" t="str">
        <f>_xlfn.IFNA(INDEX(DimosNaiOxi,MATCH(ΤΚ!E141,DimosNai,0)),"")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203">
        <f t="shared" si="15"/>
        <v>155</v>
      </c>
      <c r="L141" t="str">
        <f t="shared" si="16"/>
        <v>ΘΕΣΣΑΛΙΑΣ</v>
      </c>
      <c r="M141" t="str">
        <f t="shared" si="17"/>
        <v>ΘΕΣΣΑΛΙΑΣ - ΚΑΡΔΙΤΣΑΣ</v>
      </c>
      <c r="N141" s="201">
        <f t="shared" si="19"/>
        <v>14188</v>
      </c>
      <c r="O141" s="201" t="str">
        <f t="shared" si="20"/>
        <v>Καρδίτσας</v>
      </c>
    </row>
    <row r="142" spans="1:15" x14ac:dyDescent="0.3">
      <c r="A142" s="203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201" t="s">
        <v>720</v>
      </c>
      <c r="G142" s="201">
        <v>14326</v>
      </c>
      <c r="H142" t="str">
        <f>_xlfn.IFNA(INDEX(DimosNaiOxi,MATCH(ΤΚ!E142,DimosNai,0)),"")</f>
        <v>ΝΑΙ</v>
      </c>
      <c r="I142" t="str">
        <f>LOOKUP(B142,ΠΕΡΙΦΕΡΕΙΑ!$A$2:$A$14,ΠΕΡΙΦΕΡΕΙΑ!$B$2:$B$14)</f>
        <v>Μερική</v>
      </c>
      <c r="J142">
        <f t="shared" si="18"/>
        <v>141</v>
      </c>
      <c r="K142" s="203">
        <f t="shared" si="15"/>
        <v>156</v>
      </c>
      <c r="L142" t="str">
        <f t="shared" si="16"/>
        <v>ΘΕΣΣΑΛΙΑΣ</v>
      </c>
      <c r="M142" t="str">
        <f t="shared" si="17"/>
        <v>ΘΕΣΣΑΛΙΑΣ - ΚΙΛΕΛΕΡ</v>
      </c>
      <c r="N142" s="201">
        <f t="shared" si="19"/>
        <v>14210</v>
      </c>
      <c r="O142" s="201" t="str">
        <f t="shared" si="20"/>
        <v>Κιλελέρ</v>
      </c>
    </row>
    <row r="143" spans="1:15" x14ac:dyDescent="0.3">
      <c r="A143" s="203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201" t="s">
        <v>721</v>
      </c>
      <c r="G143" s="201">
        <v>14398</v>
      </c>
      <c r="H143" t="str">
        <f>_xlfn.IFNA(INDEX(DimosNaiOxi,MATCH(ΤΚ!E143,DimosNai,0)),"")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203">
        <f t="shared" si="15"/>
        <v>157</v>
      </c>
      <c r="L143" t="str">
        <f t="shared" si="16"/>
        <v>ΘΕΣΣΑΛΙΑΣ</v>
      </c>
      <c r="M143" t="str">
        <f t="shared" si="17"/>
        <v>ΘΕΣΣΑΛΙΑΣ - ΛΑΡΙΣΑΙΩΝ</v>
      </c>
      <c r="N143" s="201">
        <f t="shared" si="19"/>
        <v>14246</v>
      </c>
      <c r="O143" s="201" t="str">
        <f t="shared" si="20"/>
        <v>Λαρισαίων</v>
      </c>
    </row>
    <row r="144" spans="1:15" x14ac:dyDescent="0.3">
      <c r="A144" s="203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201" t="s">
        <v>722</v>
      </c>
      <c r="G144" s="201">
        <v>14418</v>
      </c>
      <c r="H144" t="str">
        <f>_xlfn.IFNA(INDEX(DimosNaiOxi,MATCH(ΤΚ!E144,DimosNai,0)),"")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203">
        <f t="shared" si="15"/>
        <v>159</v>
      </c>
      <c r="L144" t="str">
        <f t="shared" si="16"/>
        <v>ΘΕΣΣΑΛΙΑΣ</v>
      </c>
      <c r="M144" t="str">
        <f t="shared" si="17"/>
        <v>ΘΕΣΣΑΛΙΑΣ - ΜΟΥΖΑΚΙΟΥ</v>
      </c>
      <c r="N144" s="201">
        <f t="shared" si="19"/>
        <v>14302</v>
      </c>
      <c r="O144" s="201" t="str">
        <f t="shared" si="20"/>
        <v>Μουζακίου</v>
      </c>
    </row>
    <row r="145" spans="1:15" x14ac:dyDescent="0.3">
      <c r="A145" s="203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201" t="s">
        <v>723</v>
      </c>
      <c r="G145" s="201">
        <v>14378</v>
      </c>
      <c r="H145" t="str">
        <f>_xlfn.IFNA(INDEX(DimosNaiOxi,MATCH(ΤΚ!E145,DimosNai,0)),"")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203">
        <f t="shared" si="15"/>
        <v>160</v>
      </c>
      <c r="L145" t="str">
        <f t="shared" si="16"/>
        <v>ΘΕΣΣΑΛΙΑΣ</v>
      </c>
      <c r="M145" t="str">
        <f t="shared" si="17"/>
        <v>ΘΕΣΣΑΛΙΑΣ - ΝΟΤΙΟΥ ΠΗΛΙΟΥ</v>
      </c>
      <c r="N145" s="201">
        <f t="shared" si="19"/>
        <v>14342</v>
      </c>
      <c r="O145" s="201" t="str">
        <f t="shared" si="20"/>
        <v>Νοτίου Πηλίου</v>
      </c>
    </row>
    <row r="146" spans="1:15" x14ac:dyDescent="0.3">
      <c r="A146" s="203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201" t="s">
        <v>724</v>
      </c>
      <c r="G146" s="201">
        <v>14468</v>
      </c>
      <c r="H146" t="str">
        <f>_xlfn.IFNA(INDEX(DimosNaiOxi,MATCH(ΤΚ!E146,DimosNai,0)),"")</f>
        <v>ΝΑΙ</v>
      </c>
      <c r="I146" t="str">
        <f>LOOKUP(B146,ΠΕΡΙΦΕΡΕΙΑ!$A$2:$A$14,ΠΕΡΙΦΕΡΕΙΑ!$B$2:$B$14)</f>
        <v>Μερική</v>
      </c>
      <c r="J146">
        <f t="shared" si="18"/>
        <v>145</v>
      </c>
      <c r="K146" s="203">
        <f t="shared" si="15"/>
        <v>161</v>
      </c>
      <c r="L146" t="str">
        <f t="shared" si="16"/>
        <v>ΘΕΣΣΑΛΙΑΣ</v>
      </c>
      <c r="M146" t="str">
        <f t="shared" si="17"/>
        <v>ΘΕΣΣΑΛΙΑΣ - ΠΑΛΑΜΑ</v>
      </c>
      <c r="N146" s="201">
        <f t="shared" si="19"/>
        <v>14388</v>
      </c>
      <c r="O146" s="201" t="str">
        <f t="shared" si="20"/>
        <v>Παλαμά</v>
      </c>
    </row>
    <row r="147" spans="1:15" x14ac:dyDescent="0.3">
      <c r="A147" s="203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201" t="s">
        <v>725</v>
      </c>
      <c r="G147" s="201">
        <v>14516</v>
      </c>
      <c r="H147" t="str">
        <f>_xlfn.IFNA(INDEX(DimosNaiOxi,MATCH(ΤΚ!E147,DimosNai,0)),"")</f>
        <v>ΝΑΙ</v>
      </c>
      <c r="I147" t="str">
        <f>LOOKUP(B147,ΠΕΡΙΦΕΡΕΙΑ!$A$2:$A$14,ΠΕΡΙΦΕΡΕΙΑ!$B$2:$B$14)</f>
        <v>Μερική</v>
      </c>
      <c r="J147">
        <f t="shared" si="18"/>
        <v>146</v>
      </c>
      <c r="K147" s="203">
        <f t="shared" si="15"/>
        <v>162</v>
      </c>
      <c r="L147" t="str">
        <f t="shared" si="16"/>
        <v>ΘΕΣΣΑΛΙΑΣ</v>
      </c>
      <c r="M147" t="str">
        <f t="shared" si="17"/>
        <v>ΘΕΣΣΑΛΙΑΣ - ΠΥΛΗΣ</v>
      </c>
      <c r="N147" s="201">
        <f t="shared" si="19"/>
        <v>14374</v>
      </c>
      <c r="O147" s="201" t="str">
        <f t="shared" si="20"/>
        <v>Πύλης</v>
      </c>
    </row>
    <row r="148" spans="1:15" x14ac:dyDescent="0.3">
      <c r="A148" s="203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201" t="s">
        <v>726</v>
      </c>
      <c r="G148" s="201">
        <v>13938</v>
      </c>
      <c r="H148" t="str">
        <f>_xlfn.IFNA(INDEX(DimosNaiOxi,MATCH(ΤΚ!E148,DimosNai,0)),"")</f>
        <v>ΝΑΙ</v>
      </c>
      <c r="I148" t="str">
        <f>LOOKUP(B148,ΠΕΡΙΦΕΡΕΙΑ!$A$2:$A$14,ΠΕΡΙΦΕΡΕΙΑ!$B$2:$B$14)</f>
        <v>Μερική</v>
      </c>
      <c r="J148">
        <f t="shared" si="18"/>
        <v>147</v>
      </c>
      <c r="K148" s="203">
        <f t="shared" si="15"/>
        <v>163</v>
      </c>
      <c r="L148" t="str">
        <f t="shared" si="16"/>
        <v>ΘΕΣΣΑΛΙΑΣ</v>
      </c>
      <c r="M148" t="str">
        <f t="shared" si="17"/>
        <v>ΘΕΣΣΑΛΙΑΣ - ΡΗΓΑ ΦΕΡΑΙΟΥ</v>
      </c>
      <c r="N148" s="201">
        <f t="shared" si="19"/>
        <v>14434</v>
      </c>
      <c r="O148" s="201" t="str">
        <f t="shared" si="20"/>
        <v>Ρήγα Φερραίου</v>
      </c>
    </row>
    <row r="149" spans="1:15" x14ac:dyDescent="0.3">
      <c r="A149" s="203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201" t="s">
        <v>727</v>
      </c>
      <c r="G149" s="201">
        <v>13958</v>
      </c>
      <c r="H149" t="str">
        <f>_xlfn.IFNA(INDEX(DimosNaiOxi,MATCH(ΤΚ!E149,DimosNai,0)),"")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203">
        <f t="shared" si="15"/>
        <v>164</v>
      </c>
      <c r="L149" t="str">
        <f t="shared" si="16"/>
        <v>ΘΕΣΣΑΛΙΑΣ</v>
      </c>
      <c r="M149" t="str">
        <f t="shared" si="17"/>
        <v>ΘΕΣΣΑΛΙΑΣ - ΣΚΙΑΘΟΥ</v>
      </c>
      <c r="N149" s="201">
        <f t="shared" si="19"/>
        <v>14466</v>
      </c>
      <c r="O149" s="201" t="str">
        <f t="shared" si="20"/>
        <v>Σκιάθου</v>
      </c>
    </row>
    <row r="150" spans="1:15" x14ac:dyDescent="0.3">
      <c r="A150" s="203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201" t="s">
        <v>728</v>
      </c>
      <c r="G150" s="201">
        <v>13960</v>
      </c>
      <c r="H150" t="str">
        <f>_xlfn.IFNA(INDEX(DimosNaiOxi,MATCH(ΤΚ!E150,DimosNai,0)),"")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203">
        <f t="shared" si="15"/>
        <v>166</v>
      </c>
      <c r="L150" t="str">
        <f t="shared" si="16"/>
        <v>ΘΕΣΣΑΛΙΑΣ</v>
      </c>
      <c r="M150" t="str">
        <f t="shared" si="17"/>
        <v>ΘΕΣΣΑΛΙΑΣ - ΣΟΦΑΔΩΝ</v>
      </c>
      <c r="N150" s="201">
        <f t="shared" si="19"/>
        <v>14476</v>
      </c>
      <c r="O150" s="201" t="str">
        <f t="shared" si="20"/>
        <v>Σοφάδων</v>
      </c>
    </row>
    <row r="151" spans="1:15" x14ac:dyDescent="0.3">
      <c r="A151" s="203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201" t="s">
        <v>729</v>
      </c>
      <c r="G151" s="201">
        <v>13992</v>
      </c>
      <c r="H151" t="str">
        <f>_xlfn.IFNA(INDEX(DimosNaiOxi,MATCH(ΤΚ!E151,DimosNai,0)),"")</f>
        <v>ΝΑΙ</v>
      </c>
      <c r="I151" t="str">
        <f>LOOKUP(B151,ΠΕΡΙΦΕΡΕΙΑ!$A$2:$A$14,ΠΕΡΙΦΕΡΕΙΑ!$B$2:$B$14)</f>
        <v>Μερική</v>
      </c>
      <c r="J151">
        <f t="shared" si="18"/>
        <v>150</v>
      </c>
      <c r="K151" s="203">
        <f t="shared" si="15"/>
        <v>167</v>
      </c>
      <c r="L151" t="str">
        <f t="shared" si="16"/>
        <v>ΘΕΣΣΑΛΙΑΣ</v>
      </c>
      <c r="M151" t="str">
        <f t="shared" si="17"/>
        <v>ΘΕΣΣΑΛΙΑΣ - ΤΕΜΠΩΝ</v>
      </c>
      <c r="N151" s="201">
        <f t="shared" si="19"/>
        <v>14490</v>
      </c>
      <c r="O151" s="201" t="str">
        <f t="shared" si="20"/>
        <v>Τεμπών</v>
      </c>
    </row>
    <row r="152" spans="1:15" x14ac:dyDescent="0.3">
      <c r="A152" s="203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201" t="s">
        <v>730</v>
      </c>
      <c r="G152" s="201">
        <v>14034</v>
      </c>
      <c r="H152" t="str">
        <f>_xlfn.IFNA(INDEX(DimosNaiOxi,MATCH(ΤΚ!E152,DimosNai,0)),"")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203">
        <f t="shared" si="15"/>
        <v>168</v>
      </c>
      <c r="L152" t="str">
        <f t="shared" si="16"/>
        <v>ΘΕΣΣΑΛΙΑΣ</v>
      </c>
      <c r="M152" t="str">
        <f t="shared" si="17"/>
        <v>ΘΕΣΣΑΛΙΑΣ - ΤΡΙΚΚΑΙΩΝ</v>
      </c>
      <c r="N152" s="201">
        <f t="shared" si="19"/>
        <v>14494</v>
      </c>
      <c r="O152" s="201" t="str">
        <f t="shared" si="20"/>
        <v>Τρικκαίων</v>
      </c>
    </row>
    <row r="153" spans="1:15" x14ac:dyDescent="0.3">
      <c r="A153" s="203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201" t="s">
        <v>731</v>
      </c>
      <c r="G153" s="201">
        <v>14082</v>
      </c>
      <c r="H153" t="str">
        <f>_xlfn.IFNA(INDEX(DimosNaiOxi,MATCH(ΤΚ!E153,DimosNai,0)),"")</f>
        <v>ΝΑΙ</v>
      </c>
      <c r="I153" t="str">
        <f>LOOKUP(B153,ΠΕΡΙΦΕΡΕΙΑ!$A$2:$A$14,ΠΕΡΙΦΕΡΕΙΑ!$B$2:$B$14)</f>
        <v>Μερική</v>
      </c>
      <c r="J153">
        <f t="shared" si="18"/>
        <v>152</v>
      </c>
      <c r="K153" s="203">
        <f t="shared" si="15"/>
        <v>169</v>
      </c>
      <c r="L153" t="str">
        <f t="shared" si="16"/>
        <v>ΘΕΣΣΑΛΙΑΣ</v>
      </c>
      <c r="M153" t="str">
        <f t="shared" si="17"/>
        <v>ΘΕΣΣΑΛΙΑΣ - ΤΥΡΝΑΒΟΥ</v>
      </c>
      <c r="N153" s="201">
        <f t="shared" si="19"/>
        <v>14506</v>
      </c>
      <c r="O153" s="201" t="str">
        <f t="shared" si="20"/>
        <v>Τυρνάβου</v>
      </c>
    </row>
    <row r="154" spans="1:15" x14ac:dyDescent="0.3">
      <c r="A154" s="203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201" t="s">
        <v>732</v>
      </c>
      <c r="G154" s="201">
        <v>14102</v>
      </c>
      <c r="H154" t="str">
        <f>_xlfn.IFNA(INDEX(DimosNaiOxi,MATCH(ΤΚ!E154,DimosNai,0)),"")</f>
        <v>ΝΑΙ</v>
      </c>
      <c r="I154" t="str">
        <f>LOOKUP(B154,ΠΕΡΙΦΕΡΕΙΑ!$A$2:$A$14,ΠΕΡΙΦΕΡΕΙΑ!$B$2:$B$14)</f>
        <v>Μερική</v>
      </c>
      <c r="J154">
        <f t="shared" si="18"/>
        <v>153</v>
      </c>
      <c r="K154" s="203">
        <f t="shared" si="15"/>
        <v>170</v>
      </c>
      <c r="L154" t="str">
        <f t="shared" si="16"/>
        <v>ΘΕΣΣΑΛΙΑΣ</v>
      </c>
      <c r="M154" t="str">
        <f t="shared" si="17"/>
        <v>ΘΕΣΣΑΛΙΑΣ - ΦΑΡΚΑΔΟΝΑΣ</v>
      </c>
      <c r="N154" s="201">
        <f t="shared" si="19"/>
        <v>13916</v>
      </c>
      <c r="O154" s="201" t="str">
        <f t="shared" si="20"/>
        <v>Φαρκαδόνας</v>
      </c>
    </row>
    <row r="155" spans="1:15" x14ac:dyDescent="0.3">
      <c r="A155" s="203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201" t="s">
        <v>733</v>
      </c>
      <c r="G155" s="201">
        <v>14182</v>
      </c>
      <c r="H155" t="str">
        <f>_xlfn.IFNA(INDEX(DimosNaiOxi,MATCH(ΤΚ!E155,DimosNai,0)),"")</f>
        <v>ΝΑΙ</v>
      </c>
      <c r="I155" t="str">
        <f>LOOKUP(B155,ΠΕΡΙΦΕΡΕΙΑ!$A$2:$A$14,ΠΕΡΙΦΕΡΕΙΑ!$B$2:$B$14)</f>
        <v>Μερική</v>
      </c>
      <c r="J155">
        <f t="shared" si="18"/>
        <v>154</v>
      </c>
      <c r="K155" s="203">
        <f t="shared" si="15"/>
        <v>171</v>
      </c>
      <c r="L155" t="str">
        <f t="shared" si="16"/>
        <v>ΘΕΣΣΑΛΙΑΣ</v>
      </c>
      <c r="M155" t="str">
        <f t="shared" si="17"/>
        <v>ΘΕΣΣΑΛΙΑΣ - ΦΑΡΣΑΛΩΝ</v>
      </c>
      <c r="N155" s="201">
        <f t="shared" si="19"/>
        <v>14512</v>
      </c>
      <c r="O155" s="201" t="str">
        <f t="shared" si="20"/>
        <v>Φαρσάλων</v>
      </c>
    </row>
    <row r="156" spans="1:15" x14ac:dyDescent="0.3">
      <c r="A156" s="203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201" t="s">
        <v>734</v>
      </c>
      <c r="G156" s="201">
        <v>14188</v>
      </c>
      <c r="H156" t="str">
        <f>_xlfn.IFNA(INDEX(DimosNaiOxi,MATCH(ΤΚ!E156,DimosNai,0)),"")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203">
        <f t="shared" si="15"/>
        <v>172</v>
      </c>
      <c r="L156" t="str">
        <f t="shared" si="16"/>
        <v>ΙΟΝΙΩΝ ΝΗΣΩΝ</v>
      </c>
      <c r="M156" t="str">
        <f t="shared" si="17"/>
        <v>ΙΟΝΙΩΝ ΝΗΣΩΝ - ΖΑΚΥΝΘΟΥ</v>
      </c>
      <c r="N156" s="201">
        <f t="shared" si="19"/>
        <v>14108</v>
      </c>
      <c r="O156" s="201" t="str">
        <f t="shared" si="20"/>
        <v>Ζακύνθου</v>
      </c>
    </row>
    <row r="157" spans="1:15" x14ac:dyDescent="0.3">
      <c r="A157" s="203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201" t="s">
        <v>735</v>
      </c>
      <c r="G157" s="201">
        <v>14210</v>
      </c>
      <c r="H157" t="str">
        <f>_xlfn.IFNA(INDEX(DimosNaiOxi,MATCH(ΤΚ!E157,DimosNai,0)),"")</f>
        <v>ΝΑΙ</v>
      </c>
      <c r="I157" t="str">
        <f>LOOKUP(B157,ΠΕΡΙΦΕΡΕΙΑ!$A$2:$A$14,ΠΕΡΙΦΕΡΕΙΑ!$B$2:$B$14)</f>
        <v>Μερική</v>
      </c>
      <c r="J157">
        <f t="shared" si="18"/>
        <v>156</v>
      </c>
      <c r="K157" s="203">
        <f t="shared" si="15"/>
        <v>174</v>
      </c>
      <c r="L157" t="str">
        <f t="shared" si="16"/>
        <v>ΙΟΝΙΩΝ ΝΗΣΩΝ</v>
      </c>
      <c r="M157" t="str">
        <f t="shared" si="17"/>
        <v>ΙΟΝΙΩΝ ΝΗΣΩΝ - ΚΕΡΚΥΡΑΣ</v>
      </c>
      <c r="N157" s="201">
        <f t="shared" si="19"/>
        <v>14206</v>
      </c>
      <c r="O157" s="201" t="str">
        <f t="shared" si="20"/>
        <v>Κέρκυρας</v>
      </c>
    </row>
    <row r="158" spans="1:15" x14ac:dyDescent="0.3">
      <c r="A158" s="203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201" t="s">
        <v>736</v>
      </c>
      <c r="G158" s="201">
        <v>14246</v>
      </c>
      <c r="H158" t="str">
        <f>_xlfn.IFNA(INDEX(DimosNaiOxi,MATCH(ΤΚ!E158,DimosNai,0)),"")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203">
        <f t="shared" si="15"/>
        <v>175</v>
      </c>
      <c r="L158" t="str">
        <f t="shared" si="16"/>
        <v>ΙΟΝΙΩΝ ΝΗΣΩΝ</v>
      </c>
      <c r="M158" t="str">
        <f t="shared" si="17"/>
        <v>ΙΟΝΙΩΝ ΝΗΣΩΝ - ΚΕΦΑΛΟΝΙΑΣ</v>
      </c>
      <c r="N158" s="201">
        <f t="shared" si="19"/>
        <v>14208</v>
      </c>
      <c r="O158" s="201" t="str">
        <f t="shared" si="20"/>
        <v>Κεφαλονιάς</v>
      </c>
    </row>
    <row r="159" spans="1:15" x14ac:dyDescent="0.3">
      <c r="A159" s="203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201" t="s">
        <v>737</v>
      </c>
      <c r="G159" s="201">
        <v>14258</v>
      </c>
      <c r="H159" t="str">
        <f>_xlfn.IFNA(INDEX(DimosNaiOxi,MATCH(ΤΚ!E159,DimosNai,0)),"")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203">
        <f t="shared" si="15"/>
        <v>176</v>
      </c>
      <c r="L159" t="str">
        <f t="shared" si="16"/>
        <v>ΙΟΝΙΩΝ ΝΗΣΩΝ</v>
      </c>
      <c r="M159" t="str">
        <f t="shared" si="17"/>
        <v>ΙΟΝΙΩΝ ΝΗΣΩΝ - ΛΕΥΚΑΔΑΣ</v>
      </c>
      <c r="N159" s="201">
        <f t="shared" si="19"/>
        <v>14238</v>
      </c>
      <c r="O159" s="201" t="str">
        <f t="shared" si="20"/>
        <v>Λευκάδας</v>
      </c>
    </row>
    <row r="160" spans="1:15" x14ac:dyDescent="0.3">
      <c r="A160" s="203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201" t="s">
        <v>738</v>
      </c>
      <c r="G160" s="201">
        <v>14302</v>
      </c>
      <c r="H160" t="str">
        <f>_xlfn.IFNA(INDEX(DimosNaiOxi,MATCH(ΤΚ!E160,DimosNai,0)),"")</f>
        <v>ΝΑΙ</v>
      </c>
      <c r="I160" t="str">
        <f>LOOKUP(B160,ΠΕΡΙΦΕΡΕΙΑ!$A$2:$A$14,ΠΕΡΙΦΕΡΕΙΑ!$B$2:$B$14)</f>
        <v>Μερική</v>
      </c>
      <c r="J160">
        <f t="shared" si="18"/>
        <v>159</v>
      </c>
      <c r="K160" s="203">
        <f t="shared" si="15"/>
        <v>179</v>
      </c>
      <c r="L160" t="str">
        <f t="shared" si="16"/>
        <v>ΚΕΝΤΡΙΚΗΣ ΜΑΚΕΔΟΝΙΑΣ</v>
      </c>
      <c r="M160" t="str">
        <f t="shared" si="17"/>
        <v>ΚΕΝΤΡΙΚΗΣ ΜΑΚΕΔΟΝΙΑΣ - ΑΛΕΞΑΝΔΡΕΙΑΣ</v>
      </c>
      <c r="N160" s="201">
        <f t="shared" si="19"/>
        <v>13918</v>
      </c>
      <c r="O160" s="201" t="str">
        <f t="shared" si="20"/>
        <v>Αλεξάνδρειας</v>
      </c>
    </row>
    <row r="161" spans="1:15" x14ac:dyDescent="0.3">
      <c r="A161" s="203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201" t="s">
        <v>739</v>
      </c>
      <c r="G161" s="201">
        <v>14342</v>
      </c>
      <c r="H161" t="str">
        <f>_xlfn.IFNA(INDEX(DimosNaiOxi,MATCH(ΤΚ!E161,DimosNai,0)),"")</f>
        <v>ΝΑΙ</v>
      </c>
      <c r="I161" t="str">
        <f>LOOKUP(B161,ΠΕΡΙΦΕΡΕΙΑ!$A$2:$A$14,ΠΕΡΙΦΕΡΕΙΑ!$B$2:$B$14)</f>
        <v>Μερική</v>
      </c>
      <c r="J161">
        <f t="shared" si="18"/>
        <v>160</v>
      </c>
      <c r="K161" s="203">
        <f t="shared" si="15"/>
        <v>180</v>
      </c>
      <c r="L161" t="str">
        <f t="shared" si="16"/>
        <v>ΚΕΝΤΡΙΚΗΣ ΜΑΚΕΔΟΝΙΑΣ</v>
      </c>
      <c r="M161" t="str">
        <f t="shared" si="17"/>
        <v>ΚΕΝΤΡΙΚΗΣ ΜΑΚΕΔΟΝΙΑΣ - ΑΛΜΩΠΙΑΣ</v>
      </c>
      <c r="N161" s="201">
        <f t="shared" si="19"/>
        <v>13952</v>
      </c>
      <c r="O161" s="201" t="str">
        <f t="shared" si="20"/>
        <v>Αλμωπίας</v>
      </c>
    </row>
    <row r="162" spans="1:15" x14ac:dyDescent="0.3">
      <c r="A162" s="203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201" t="s">
        <v>740</v>
      </c>
      <c r="G162" s="201">
        <v>14388</v>
      </c>
      <c r="H162" t="str">
        <f>_xlfn.IFNA(INDEX(DimosNaiOxi,MATCH(ΤΚ!E162,DimosNai,0)),"")</f>
        <v>ΝΑΙ</v>
      </c>
      <c r="I162" t="str">
        <f>LOOKUP(B162,ΠΕΡΙΦΕΡΕΙΑ!$A$2:$A$14,ΠΕΡΙΦΕΡΕΙΑ!$B$2:$B$14)</f>
        <v>Μερική</v>
      </c>
      <c r="J162">
        <f t="shared" si="18"/>
        <v>161</v>
      </c>
      <c r="K162" s="203">
        <f t="shared" si="15"/>
        <v>181</v>
      </c>
      <c r="L162" t="str">
        <f t="shared" si="16"/>
        <v>ΚΕΝΤΡΙΚΗΣ ΜΑΚΕΔΟΝΙΑΣ</v>
      </c>
      <c r="M162" t="str">
        <f t="shared" si="17"/>
        <v>ΚΕΝΤΡΙΚΗΣ ΜΑΚΕΔΟΝΙΑΣ - ΑΜΠΕΛΟΚΗΠΩΝ – ΜΕΝΕΜΕΝΗΣ</v>
      </c>
      <c r="N162" s="201">
        <f t="shared" si="19"/>
        <v>13968</v>
      </c>
      <c r="O162" s="201" t="str">
        <f t="shared" si="20"/>
        <v>Αμπελοκήπων - Μενεμένης</v>
      </c>
    </row>
    <row r="163" spans="1:15" x14ac:dyDescent="0.3">
      <c r="A163" s="203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201" t="s">
        <v>741</v>
      </c>
      <c r="G163" s="201">
        <v>14374</v>
      </c>
      <c r="H163" t="str">
        <f>_xlfn.IFNA(INDEX(DimosNaiOxi,MATCH(ΤΚ!E163,DimosNai,0)),"")</f>
        <v>ΝΑΙ</v>
      </c>
      <c r="I163" t="str">
        <f>LOOKUP(B163,ΠΕΡΙΦΕΡΕΙΑ!$A$2:$A$14,ΠΕΡΙΦΕΡΕΙΑ!$B$2:$B$14)</f>
        <v>Μερική</v>
      </c>
      <c r="J163">
        <f t="shared" si="18"/>
        <v>162</v>
      </c>
      <c r="K163" s="203">
        <f t="shared" si="15"/>
        <v>182</v>
      </c>
      <c r="L163" t="str">
        <f t="shared" si="16"/>
        <v>ΚΕΝΤΡΙΚΗΣ ΜΑΚΕΔΟΝΙΑΣ</v>
      </c>
      <c r="M163" t="str">
        <f t="shared" si="17"/>
        <v>ΚΕΝΤΡΙΚΗΣ ΜΑΚΕΔΟΝΙΑΣ - ΑΜΦΙΠΟΛΗΣ</v>
      </c>
      <c r="N163" s="201">
        <f t="shared" si="19"/>
        <v>13976</v>
      </c>
      <c r="O163" s="201" t="str">
        <f t="shared" si="20"/>
        <v>Αμφίπολης</v>
      </c>
    </row>
    <row r="164" spans="1:15" x14ac:dyDescent="0.3">
      <c r="A164" s="203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201" t="s">
        <v>742</v>
      </c>
      <c r="G164" s="201">
        <v>14434</v>
      </c>
      <c r="H164" t="str">
        <f>_xlfn.IFNA(INDEX(DimosNaiOxi,MATCH(ΤΚ!E164,DimosNai,0)),"")</f>
        <v>ΝΑΙ</v>
      </c>
      <c r="I164" t="str">
        <f>LOOKUP(B164,ΠΕΡΙΦΕΡΕΙΑ!$A$2:$A$14,ΠΕΡΙΦΕΡΕΙΑ!$B$2:$B$14)</f>
        <v>Μερική</v>
      </c>
      <c r="J164">
        <f t="shared" si="18"/>
        <v>163</v>
      </c>
      <c r="K164" s="203">
        <f t="shared" si="15"/>
        <v>183</v>
      </c>
      <c r="L164" t="str">
        <f t="shared" si="16"/>
        <v>ΚΕΝΤΡΙΚΗΣ ΜΑΚΕΔΟΝΙΑΣ</v>
      </c>
      <c r="M164" t="str">
        <f t="shared" si="17"/>
        <v>ΚΕΝΤΡΙΚΗΣ ΜΑΚΕΔΟΝΙΑΣ - ΑΡΙΣΤΟΤΕΛΗ</v>
      </c>
      <c r="N164" s="201">
        <f t="shared" si="19"/>
        <v>13996</v>
      </c>
      <c r="O164" s="201" t="str">
        <f t="shared" si="20"/>
        <v>Αριστοτέλη</v>
      </c>
    </row>
    <row r="165" spans="1:15" x14ac:dyDescent="0.3">
      <c r="A165" s="203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201" t="s">
        <v>743</v>
      </c>
      <c r="G165" s="201">
        <v>14466</v>
      </c>
      <c r="H165" t="str">
        <f>_xlfn.IFNA(INDEX(DimosNaiOxi,MATCH(ΤΚ!E165,DimosNai,0)),"")</f>
        <v>ΝΑΙ</v>
      </c>
      <c r="I165" t="str">
        <f>LOOKUP(B165,ΠΕΡΙΦΕΡΕΙΑ!$A$2:$A$14,ΠΕΡΙΦΕΡΕΙΑ!$B$2:$B$14)</f>
        <v>Μερική</v>
      </c>
      <c r="J165">
        <f t="shared" si="18"/>
        <v>164</v>
      </c>
      <c r="K165" s="203">
        <f t="shared" si="15"/>
        <v>184</v>
      </c>
      <c r="L165" t="str">
        <f t="shared" si="16"/>
        <v>ΚΕΝΤΡΙΚΗΣ ΜΑΚΕΔΟΝΙΑΣ</v>
      </c>
      <c r="M165" t="str">
        <f t="shared" si="17"/>
        <v>ΚΕΝΤΡΙΚΗΣ ΜΑΚΕΔΟΝΙΑΣ - ΒΕΡΟΙΑΣ</v>
      </c>
      <c r="N165" s="201">
        <f t="shared" si="19"/>
        <v>14014</v>
      </c>
      <c r="O165" s="201" t="str">
        <f t="shared" si="20"/>
        <v>Βέροιας</v>
      </c>
    </row>
    <row r="166" spans="1:15" x14ac:dyDescent="0.3">
      <c r="A166" s="203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201" t="s">
        <v>744</v>
      </c>
      <c r="G166" s="201">
        <v>14440</v>
      </c>
      <c r="H166" t="str">
        <f>_xlfn.IFNA(INDEX(DimosNaiOxi,MATCH(ΤΚ!E166,DimosNai,0)),"")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203">
        <f t="shared" si="15"/>
        <v>185</v>
      </c>
      <c r="L166" t="str">
        <f t="shared" si="16"/>
        <v>ΚΕΝΤΡΙΚΗΣ ΜΑΚΕΔΟΝΙΑΣ</v>
      </c>
      <c r="M166" t="str">
        <f t="shared" si="17"/>
        <v>ΚΕΝΤΡΙΚΗΣ ΜΑΚΕΔΟΝΙΑΣ - ΒΙΣΑΛΤΙΑΣ</v>
      </c>
      <c r="N166" s="201">
        <f t="shared" si="19"/>
        <v>14018</v>
      </c>
      <c r="O166" s="201" t="str">
        <f t="shared" si="20"/>
        <v>Βισαλτίας</v>
      </c>
    </row>
    <row r="167" spans="1:15" x14ac:dyDescent="0.3">
      <c r="A167" s="203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201" t="s">
        <v>745</v>
      </c>
      <c r="G167" s="201">
        <v>14476</v>
      </c>
      <c r="H167" t="str">
        <f>_xlfn.IFNA(INDEX(DimosNaiOxi,MATCH(ΤΚ!E167,DimosNai,0)),"")</f>
        <v>ΝΑΙ</v>
      </c>
      <c r="I167" t="str">
        <f>LOOKUP(B167,ΠΕΡΙΦΕΡΕΙΑ!$A$2:$A$14,ΠΕΡΙΦΕΡΕΙΑ!$B$2:$B$14)</f>
        <v>Μερική</v>
      </c>
      <c r="J167">
        <f t="shared" si="18"/>
        <v>166</v>
      </c>
      <c r="K167" s="203">
        <f t="shared" si="15"/>
        <v>186</v>
      </c>
      <c r="L167" t="str">
        <f t="shared" si="16"/>
        <v>ΚΕΝΤΡΙΚΗΣ ΜΑΚΕΔΟΝΙΑΣ</v>
      </c>
      <c r="M167" t="str">
        <f t="shared" si="17"/>
        <v>ΚΕΝΤΡΙΚΗΣ ΜΑΚΕΔΟΝΙΑΣ - ΒΟΛΒΗΣ</v>
      </c>
      <c r="N167" s="201">
        <f t="shared" si="19"/>
        <v>14030</v>
      </c>
      <c r="O167" s="201" t="str">
        <f t="shared" si="20"/>
        <v>Βόλβης</v>
      </c>
    </row>
    <row r="168" spans="1:15" x14ac:dyDescent="0.3">
      <c r="A168" s="203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201" t="s">
        <v>746</v>
      </c>
      <c r="G168" s="201">
        <v>14490</v>
      </c>
      <c r="H168" t="str">
        <f>_xlfn.IFNA(INDEX(DimosNaiOxi,MATCH(ΤΚ!E168,DimosNai,0)),"")</f>
        <v>ΝΑΙ</v>
      </c>
      <c r="I168" t="str">
        <f>LOOKUP(B168,ΠΕΡΙΦΕΡΕΙΑ!$A$2:$A$14,ΠΕΡΙΦΕΡΕΙΑ!$B$2:$B$14)</f>
        <v>Μερική</v>
      </c>
      <c r="J168">
        <f t="shared" si="18"/>
        <v>167</v>
      </c>
      <c r="K168" s="203">
        <f t="shared" si="15"/>
        <v>187</v>
      </c>
      <c r="L168" t="str">
        <f t="shared" si="16"/>
        <v>ΚΕΝΤΡΙΚΗΣ ΜΑΚΕΔΟΝΙΑΣ</v>
      </c>
      <c r="M168" t="str">
        <f t="shared" si="17"/>
        <v>ΚΕΝΤΡΙΚΗΣ ΜΑΚΕΔΟΝΙΑΣ - ΔΕΛΤΑ</v>
      </c>
      <c r="N168" s="201">
        <f t="shared" si="19"/>
        <v>14050</v>
      </c>
      <c r="O168" s="201" t="str">
        <f t="shared" si="20"/>
        <v>Δέλτα</v>
      </c>
    </row>
    <row r="169" spans="1:15" x14ac:dyDescent="0.3">
      <c r="A169" s="203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201" t="s">
        <v>747</v>
      </c>
      <c r="G169" s="201">
        <v>14494</v>
      </c>
      <c r="H169" t="str">
        <f>_xlfn.IFNA(INDEX(DimosNaiOxi,MATCH(ΤΚ!E169,DimosNai,0)),"")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203">
        <f t="shared" si="15"/>
        <v>188</v>
      </c>
      <c r="L169" t="str">
        <f t="shared" si="16"/>
        <v>ΚΕΝΤΡΙΚΗΣ ΜΑΚΕΔΟΝΙΑΣ</v>
      </c>
      <c r="M169" t="str">
        <f t="shared" si="17"/>
        <v>ΚΕΝΤΡΙΚΗΣ ΜΑΚΕΔΟΝΙΑΣ - ΔΙΟΥ – ΟΛΥΜΠΟΥ</v>
      </c>
      <c r="N169" s="201">
        <f t="shared" si="19"/>
        <v>14062</v>
      </c>
      <c r="O169" s="201" t="str">
        <f t="shared" si="20"/>
        <v>Δίου - Ολύμπου</v>
      </c>
    </row>
    <row r="170" spans="1:15" x14ac:dyDescent="0.3">
      <c r="A170" s="203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201" t="s">
        <v>748</v>
      </c>
      <c r="G170" s="201">
        <v>14506</v>
      </c>
      <c r="H170" t="str">
        <f>_xlfn.IFNA(INDEX(DimosNaiOxi,MATCH(ΤΚ!E170,DimosNai,0)),"")</f>
        <v>ΝΑΙ</v>
      </c>
      <c r="I170" t="str">
        <f>LOOKUP(B170,ΠΕΡΙΦΕΡΕΙΑ!$A$2:$A$14,ΠΕΡΙΦΕΡΕΙΑ!$B$2:$B$14)</f>
        <v>Μερική</v>
      </c>
      <c r="J170">
        <f t="shared" si="18"/>
        <v>169</v>
      </c>
      <c r="K170" s="203">
        <f t="shared" si="15"/>
        <v>189</v>
      </c>
      <c r="L170" t="str">
        <f t="shared" si="16"/>
        <v>ΚΕΝΤΡΙΚΗΣ ΜΑΚΕΔΟΝΙΑΣ</v>
      </c>
      <c r="M170" t="str">
        <f t="shared" si="17"/>
        <v>ΚΕΝΤΡΙΚΗΣ ΜΑΚΕΔΟΝΙΑΣ - ΕΔΕΣΣΑΣ</v>
      </c>
      <c r="N170" s="201">
        <f t="shared" si="19"/>
        <v>14080</v>
      </c>
      <c r="O170" s="201" t="str">
        <f t="shared" si="20"/>
        <v>Έδεσσας</v>
      </c>
    </row>
    <row r="171" spans="1:15" x14ac:dyDescent="0.3">
      <c r="A171" s="203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201" t="s">
        <v>749</v>
      </c>
      <c r="G171" s="201">
        <v>13916</v>
      </c>
      <c r="H171" t="str">
        <f>_xlfn.IFNA(INDEX(DimosNaiOxi,MATCH(ΤΚ!E171,DimosNai,0)),"")</f>
        <v>ΝΑΙ</v>
      </c>
      <c r="I171" t="str">
        <f>LOOKUP(B171,ΠΕΡΙΦΕΡΕΙΑ!$A$2:$A$14,ΠΕΡΙΦΕΡΕΙΑ!$B$2:$B$14)</f>
        <v>Μερική</v>
      </c>
      <c r="J171">
        <f t="shared" si="18"/>
        <v>170</v>
      </c>
      <c r="K171" s="203">
        <f t="shared" si="15"/>
        <v>190</v>
      </c>
      <c r="L171" t="str">
        <f t="shared" si="16"/>
        <v>ΚΕΝΤΡΙΚΗΣ ΜΑΚΕΔΟΝΙΑΣ</v>
      </c>
      <c r="M171" t="str">
        <f t="shared" si="17"/>
        <v>ΚΕΝΤΡΙΚΗΣ ΜΑΚΕΔΟΝΙΑΣ - ΕΜΜΑΝΟΥΗΛ ΠΑΠΠΑ</v>
      </c>
      <c r="N171" s="201">
        <f t="shared" si="19"/>
        <v>14088</v>
      </c>
      <c r="O171" s="201" t="str">
        <f t="shared" si="20"/>
        <v>Εμμανουήλ Παππά</v>
      </c>
    </row>
    <row r="172" spans="1:15" x14ac:dyDescent="0.3">
      <c r="A172" s="203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201" t="s">
        <v>750</v>
      </c>
      <c r="G172" s="201">
        <v>14512</v>
      </c>
      <c r="H172" t="str">
        <f>_xlfn.IFNA(INDEX(DimosNaiOxi,MATCH(ΤΚ!E172,DimosNai,0)),"")</f>
        <v>ΝΑΙ</v>
      </c>
      <c r="I172" t="str">
        <f>LOOKUP(B172,ΠΕΡΙΦΕΡΕΙΑ!$A$2:$A$14,ΠΕΡΙΦΕΡΕΙΑ!$B$2:$B$14)</f>
        <v>Μερική</v>
      </c>
      <c r="J172">
        <f t="shared" si="18"/>
        <v>171</v>
      </c>
      <c r="K172" s="203">
        <f t="shared" si="15"/>
        <v>191</v>
      </c>
      <c r="L172" t="str">
        <f t="shared" si="16"/>
        <v>ΚΕΝΤΡΙΚΗΣ ΜΑΚΕΔΟΝΙΑΣ</v>
      </c>
      <c r="M172" t="str">
        <f t="shared" si="17"/>
        <v>ΚΕΝΤΡΙΚΗΣ ΜΑΚΕΔΟΝΙΑΣ - ΗΡΑΚΛΕΙΑΣ</v>
      </c>
      <c r="N172" s="201">
        <f t="shared" si="19"/>
        <v>13914</v>
      </c>
      <c r="O172" s="201" t="str">
        <f t="shared" si="20"/>
        <v>Ηρακλείας</v>
      </c>
    </row>
    <row r="173" spans="1:15" x14ac:dyDescent="0.3">
      <c r="A173" s="203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201" t="s">
        <v>751</v>
      </c>
      <c r="G173" s="201">
        <v>14108</v>
      </c>
      <c r="H173" t="str">
        <f>_xlfn.IFNA(INDEX(DimosNaiOxi,MATCH(ΤΚ!E173,DimosNai,0)),"")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203">
        <f t="shared" si="15"/>
        <v>192</v>
      </c>
      <c r="L173" t="str">
        <f t="shared" si="16"/>
        <v>ΚΕΝΤΡΙΚΗΣ ΜΑΚΕΔΟΝΙΑΣ</v>
      </c>
      <c r="M173" t="str">
        <f t="shared" si="17"/>
        <v>ΚΕΝΤΡΙΚΗΣ ΜΑΚΕΔΟΝΙΑΣ - ΘΕΡΜΑΪΚΟΥ</v>
      </c>
      <c r="N173" s="201">
        <f t="shared" si="19"/>
        <v>14126</v>
      </c>
      <c r="O173" s="201" t="str">
        <f t="shared" si="20"/>
        <v>Θερμαϊκού</v>
      </c>
    </row>
    <row r="174" spans="1:15" x14ac:dyDescent="0.3">
      <c r="A174" s="203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201" t="s">
        <v>752</v>
      </c>
      <c r="G174" s="201">
        <v>14146</v>
      </c>
      <c r="H174" t="str">
        <f>_xlfn.IFNA(INDEX(DimosNaiOxi,MATCH(ΤΚ!E174,DimosNai,0)),"")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203">
        <f t="shared" si="15"/>
        <v>193</v>
      </c>
      <c r="L174" t="str">
        <f t="shared" si="16"/>
        <v>ΚΕΝΤΡΙΚΗΣ ΜΑΚΕΔΟΝΙΑΣ</v>
      </c>
      <c r="M174" t="str">
        <f t="shared" si="17"/>
        <v>ΚΕΝΤΡΙΚΗΣ ΜΑΚΕΔΟΝΙΑΣ - ΘΕΡΜΗΣ</v>
      </c>
      <c r="N174" s="201">
        <f t="shared" si="19"/>
        <v>14128</v>
      </c>
      <c r="O174" s="201" t="str">
        <f t="shared" si="20"/>
        <v>Θέρμης</v>
      </c>
    </row>
    <row r="175" spans="1:15" x14ac:dyDescent="0.3">
      <c r="A175" s="203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201" t="s">
        <v>753</v>
      </c>
      <c r="G175" s="201">
        <v>14206</v>
      </c>
      <c r="H175" t="str">
        <f>_xlfn.IFNA(INDEX(DimosNaiOxi,MATCH(ΤΚ!E175,DimosNai,0)),"")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203">
        <f t="shared" si="15"/>
        <v>194</v>
      </c>
      <c r="L175" t="str">
        <f t="shared" si="16"/>
        <v>ΚΕΝΤΡΙΚΗΣ ΜΑΚΕΔΟΝΙΑΣ</v>
      </c>
      <c r="M175" t="str">
        <f t="shared" si="17"/>
        <v>ΚΕΝΤΡΙΚΗΣ ΜΑΚΕΔΟΝΙΑΣ - ΘΕΣΣΑΛΟΝΙΚΗΣ</v>
      </c>
      <c r="N175" s="201">
        <f t="shared" si="19"/>
        <v>14130</v>
      </c>
      <c r="O175" s="201" t="str">
        <f t="shared" si="20"/>
        <v>Θεσσαλονίκης</v>
      </c>
    </row>
    <row r="176" spans="1:15" x14ac:dyDescent="0.3">
      <c r="A176" s="203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201" t="s">
        <v>754</v>
      </c>
      <c r="G176" s="201">
        <v>14208</v>
      </c>
      <c r="H176" t="str">
        <f>_xlfn.IFNA(INDEX(DimosNaiOxi,MATCH(ΤΚ!E176,DimosNai,0)),"")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203">
        <f t="shared" si="15"/>
        <v>195</v>
      </c>
      <c r="L176" t="str">
        <f t="shared" si="16"/>
        <v>ΚΕΝΤΡΙΚΗΣ ΜΑΚΕΔΟΝΙΑΣ</v>
      </c>
      <c r="M176" t="str">
        <f t="shared" si="17"/>
        <v>ΚΕΝΤΡΙΚΗΣ ΜΑΚΕΔΟΝΙΑΣ - ΚΑΛΑΜΑΡΙΑΣ</v>
      </c>
      <c r="N176" s="201">
        <f t="shared" si="19"/>
        <v>14176</v>
      </c>
      <c r="O176" s="201" t="str">
        <f t="shared" si="20"/>
        <v>Καλαμαριάς</v>
      </c>
    </row>
    <row r="177" spans="1:15" x14ac:dyDescent="0.3">
      <c r="A177" s="203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201" t="s">
        <v>755</v>
      </c>
      <c r="G177" s="201">
        <v>14238</v>
      </c>
      <c r="H177" t="str">
        <f>_xlfn.IFNA(INDEX(DimosNaiOxi,MATCH(ΤΚ!E177,DimosNai,0)),"")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203">
        <f t="shared" si="15"/>
        <v>196</v>
      </c>
      <c r="L177" t="str">
        <f t="shared" si="16"/>
        <v>ΚΕΝΤΡΙΚΗΣ ΜΑΚΕΔΟΝΙΑΣ</v>
      </c>
      <c r="M177" t="str">
        <f t="shared" si="17"/>
        <v>ΚΕΝΤΡΙΚΗΣ ΜΑΚΕΔΟΝΙΑΣ - ΚΑΣΣΑΝΔΡΑΣ</v>
      </c>
      <c r="N177" s="201">
        <f t="shared" si="19"/>
        <v>14192</v>
      </c>
      <c r="O177" s="201" t="str">
        <f t="shared" si="20"/>
        <v>Κασσάνδρας</v>
      </c>
    </row>
    <row r="178" spans="1:15" x14ac:dyDescent="0.3">
      <c r="A178" s="203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201" t="s">
        <v>756</v>
      </c>
      <c r="G178" s="201">
        <v>14284</v>
      </c>
      <c r="H178" t="str">
        <f>_xlfn.IFNA(INDEX(DimosNaiOxi,MATCH(ΤΚ!E178,DimosNai,0)),"")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203">
        <f t="shared" si="15"/>
        <v>197</v>
      </c>
      <c r="L178" t="str">
        <f t="shared" si="16"/>
        <v>ΚΕΝΤΡΙΚΗΣ ΜΑΚΕΔΟΝΙΑΣ</v>
      </c>
      <c r="M178" t="str">
        <f t="shared" si="17"/>
        <v>ΚΕΝΤΡΙΚΗΣ ΜΑΚΕΔΟΝΙΑΣ - ΚΑΤΕΡΙΝΗΣ</v>
      </c>
      <c r="N178" s="201">
        <f t="shared" si="19"/>
        <v>14200</v>
      </c>
      <c r="O178" s="201" t="str">
        <f t="shared" si="20"/>
        <v>Κατερίνης</v>
      </c>
    </row>
    <row r="179" spans="1:15" x14ac:dyDescent="0.3">
      <c r="A179" s="203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201" t="s">
        <v>757</v>
      </c>
      <c r="G179" s="201">
        <v>14392</v>
      </c>
      <c r="H179" t="str">
        <f>_xlfn.IFNA(INDEX(DimosNaiOxi,MATCH(ΤΚ!E179,DimosNai,0)),"")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203">
        <f t="shared" si="15"/>
        <v>198</v>
      </c>
      <c r="L179" t="str">
        <f t="shared" si="16"/>
        <v>ΚΕΝΤΡΙΚΗΣ ΜΑΚΕΔΟΝΙΑΣ</v>
      </c>
      <c r="M179" t="str">
        <f t="shared" si="17"/>
        <v>ΚΕΝΤΡΙΚΗΣ ΜΑΚΕΔΟΝΙΑΣ - ΚΙΛΚΙΣ</v>
      </c>
      <c r="N179" s="201">
        <f t="shared" si="19"/>
        <v>14212</v>
      </c>
      <c r="O179" s="201" t="str">
        <f t="shared" si="20"/>
        <v>Κιλκίς</v>
      </c>
    </row>
    <row r="180" spans="1:15" x14ac:dyDescent="0.3">
      <c r="A180" s="203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201" t="s">
        <v>758</v>
      </c>
      <c r="G180" s="201">
        <v>13918</v>
      </c>
      <c r="H180" t="str">
        <f>_xlfn.IFNA(INDEX(DimosNaiOxi,MATCH(ΤΚ!E180,DimosNai,0)),"")</f>
        <v>ΝΑΙ</v>
      </c>
      <c r="I180" t="str">
        <f>LOOKUP(B180,ΠΕΡΙΦΕΡΕΙΑ!$A$2:$A$14,ΠΕΡΙΦΕΡΕΙΑ!$B$2:$B$14)</f>
        <v>Μερική</v>
      </c>
      <c r="J180">
        <f t="shared" si="18"/>
        <v>179</v>
      </c>
      <c r="K180" s="203">
        <f t="shared" si="15"/>
        <v>199</v>
      </c>
      <c r="L180" t="str">
        <f t="shared" si="16"/>
        <v>ΚΕΝΤΡΙΚΗΣ ΜΑΚΕΔΟΝΙΑΣ</v>
      </c>
      <c r="M180" t="str">
        <f t="shared" si="17"/>
        <v>ΚΕΝΤΡΙΚΗΣ ΜΑΚΕΔΟΝΙΑΣ - ΚΟΡΔΕΛΙΟΥ – ΕΥΟΣΜΟΥ</v>
      </c>
      <c r="N180" s="201">
        <f t="shared" si="19"/>
        <v>14224</v>
      </c>
      <c r="O180" s="201" t="str">
        <f t="shared" si="20"/>
        <v>Κορδελιού - Ευόσμου</v>
      </c>
    </row>
    <row r="181" spans="1:15" x14ac:dyDescent="0.3">
      <c r="A181" s="203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201" t="s">
        <v>759</v>
      </c>
      <c r="G181" s="201">
        <v>13952</v>
      </c>
      <c r="H181" t="str">
        <f>_xlfn.IFNA(INDEX(DimosNaiOxi,MATCH(ΤΚ!E181,DimosNai,0)),"")</f>
        <v>ΝΑΙ</v>
      </c>
      <c r="I181" t="str">
        <f>LOOKUP(B181,ΠΕΡΙΦΕΡΕΙΑ!$A$2:$A$14,ΠΕΡΙΦΕΡΕΙΑ!$B$2:$B$14)</f>
        <v>Μερική</v>
      </c>
      <c r="J181">
        <f t="shared" si="18"/>
        <v>180</v>
      </c>
      <c r="K181" s="203">
        <f t="shared" si="15"/>
        <v>200</v>
      </c>
      <c r="L181" t="str">
        <f t="shared" si="16"/>
        <v>ΚΕΝΤΡΙΚΗΣ ΜΑΚΕΔΟΝΙΑΣ</v>
      </c>
      <c r="M181" t="str">
        <f t="shared" si="17"/>
        <v>ΚΕΝΤΡΙΚΗΣ ΜΑΚΕΔΟΝΙΑΣ - ΛΑΓΚΑΔΑ</v>
      </c>
      <c r="N181" s="201">
        <f t="shared" si="19"/>
        <v>14172</v>
      </c>
      <c r="O181" s="201" t="str">
        <f t="shared" si="20"/>
        <v>Λαγκαδά</v>
      </c>
    </row>
    <row r="182" spans="1:15" x14ac:dyDescent="0.3">
      <c r="A182" s="203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201" t="s">
        <v>760</v>
      </c>
      <c r="G182" s="201">
        <v>13968</v>
      </c>
      <c r="H182" t="str">
        <f>_xlfn.IFNA(INDEX(DimosNaiOxi,MATCH(ΤΚ!E182,DimosNai,0)),"")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203">
        <f t="shared" si="15"/>
        <v>201</v>
      </c>
      <c r="L182" t="str">
        <f t="shared" si="16"/>
        <v>ΚΕΝΤΡΙΚΗΣ ΜΑΚΕΔΟΝΙΑΣ</v>
      </c>
      <c r="M182" t="str">
        <f t="shared" si="17"/>
        <v>ΚΕΝΤΡΙΚΗΣ ΜΑΚΕΔΟΝΙΑΣ - ΝΑΟΥΣΑΣ</v>
      </c>
      <c r="N182" s="201">
        <f t="shared" si="19"/>
        <v>14272</v>
      </c>
      <c r="O182" s="201" t="str">
        <f t="shared" si="20"/>
        <v>Νάουσας</v>
      </c>
    </row>
    <row r="183" spans="1:15" x14ac:dyDescent="0.3">
      <c r="A183" s="203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201" t="s">
        <v>761</v>
      </c>
      <c r="G183" s="201">
        <v>13976</v>
      </c>
      <c r="H183" t="str">
        <f>_xlfn.IFNA(INDEX(DimosNaiOxi,MATCH(ΤΚ!E183,DimosNai,0)),"")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203">
        <f t="shared" si="15"/>
        <v>202</v>
      </c>
      <c r="L183" t="str">
        <f t="shared" si="16"/>
        <v>ΚΕΝΤΡΙΚΗΣ ΜΑΚΕΔΟΝΙΑΣ</v>
      </c>
      <c r="M183" t="str">
        <f t="shared" si="17"/>
        <v>ΚΕΝΤΡΙΚΗΣ ΜΑΚΕΔΟΝΙΑΣ - ΝΕΑΠΟΛΗΣ – ΣΥΚΕΩΝ</v>
      </c>
      <c r="N183" s="201">
        <f t="shared" si="19"/>
        <v>14332</v>
      </c>
      <c r="O183" s="201" t="str">
        <f t="shared" si="20"/>
        <v>Νέαπολης - Συκεών</v>
      </c>
    </row>
    <row r="184" spans="1:15" x14ac:dyDescent="0.3">
      <c r="A184" s="203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201" t="s">
        <v>762</v>
      </c>
      <c r="G184" s="201">
        <v>13996</v>
      </c>
      <c r="H184" t="str">
        <f>_xlfn.IFNA(INDEX(DimosNaiOxi,MATCH(ΤΚ!E184,DimosNai,0)),"")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203">
        <f t="shared" si="15"/>
        <v>203</v>
      </c>
      <c r="L184" t="str">
        <f t="shared" si="16"/>
        <v>ΚΕΝΤΡΙΚΗΣ ΜΑΚΕΔΟΝΙΑΣ</v>
      </c>
      <c r="M184" t="str">
        <f t="shared" si="17"/>
        <v>ΚΕΝΤΡΙΚΗΣ ΜΑΚΕΔΟΝΙΑΣ - ΝΕΑΣ ΖΙΧΝΗΣ</v>
      </c>
      <c r="N184" s="201">
        <f t="shared" si="19"/>
        <v>14334</v>
      </c>
      <c r="O184" s="201" t="str">
        <f t="shared" si="20"/>
        <v>Νέας Ζίχνης</v>
      </c>
    </row>
    <row r="185" spans="1:15" x14ac:dyDescent="0.3">
      <c r="A185" s="203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201" t="s">
        <v>763</v>
      </c>
      <c r="G185" s="201">
        <v>14014</v>
      </c>
      <c r="H185" t="str">
        <f>_xlfn.IFNA(INDEX(DimosNaiOxi,MATCH(ΤΚ!E185,DimosNai,0)),"")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203">
        <f t="shared" si="15"/>
        <v>204</v>
      </c>
      <c r="L185" t="str">
        <f t="shared" si="16"/>
        <v>ΚΕΝΤΡΙΚΗΣ ΜΑΚΕΔΟΝΙΑΣ</v>
      </c>
      <c r="M185" t="str">
        <f t="shared" si="17"/>
        <v>ΚΕΝΤΡΙΚΗΣ ΜΑΚΕΔΟΝΙΑΣ - ΝΕΑΣ ΠΡΟΠΟΝΤΙΔΑΣ</v>
      </c>
      <c r="N185" s="201">
        <f t="shared" si="19"/>
        <v>14318</v>
      </c>
      <c r="O185" s="201" t="str">
        <f t="shared" si="20"/>
        <v>Νέας Προποντίδας</v>
      </c>
    </row>
    <row r="186" spans="1:15" x14ac:dyDescent="0.3">
      <c r="A186" s="203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201" t="s">
        <v>764</v>
      </c>
      <c r="G186" s="201">
        <v>14018</v>
      </c>
      <c r="H186" t="str">
        <f>_xlfn.IFNA(INDEX(DimosNaiOxi,MATCH(ΤΚ!E186,DimosNai,0)),"")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203">
        <f t="shared" si="15"/>
        <v>205</v>
      </c>
      <c r="L186" t="str">
        <f t="shared" si="16"/>
        <v>ΚΕΝΤΡΙΚΗΣ ΜΑΚΕΔΟΝΙΑΣ</v>
      </c>
      <c r="M186" t="str">
        <f t="shared" si="17"/>
        <v>ΚΕΝΤΡΙΚΗΣ ΜΑΚΕΔΟΝΙΑΣ - ΠΑΙΟΝΙΑΣ</v>
      </c>
      <c r="N186" s="201">
        <f t="shared" si="19"/>
        <v>14384</v>
      </c>
      <c r="O186" s="201" t="str">
        <f t="shared" si="20"/>
        <v>Παιονίας</v>
      </c>
    </row>
    <row r="187" spans="1:15" x14ac:dyDescent="0.3">
      <c r="A187" s="203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201" t="s">
        <v>765</v>
      </c>
      <c r="G187" s="201">
        <v>14030</v>
      </c>
      <c r="H187" t="str">
        <f>_xlfn.IFNA(INDEX(DimosNaiOxi,MATCH(ΤΚ!E187,DimosNai,0)),"")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203">
        <f t="shared" si="15"/>
        <v>206</v>
      </c>
      <c r="L187" t="str">
        <f t="shared" si="16"/>
        <v>ΚΕΝΤΡΙΚΗΣ ΜΑΚΕΔΟΝΙΑΣ</v>
      </c>
      <c r="M187" t="str">
        <f t="shared" si="17"/>
        <v>ΚΕΝΤΡΙΚΗΣ ΜΑΚΕΔΟΝΙΑΣ - ΠΑΥΛΟΥ ΜΕΛΑ</v>
      </c>
      <c r="N187" s="201">
        <f t="shared" si="19"/>
        <v>14368</v>
      </c>
      <c r="O187" s="201" t="str">
        <f t="shared" si="20"/>
        <v>Παύλου Μελά</v>
      </c>
    </row>
    <row r="188" spans="1:15" x14ac:dyDescent="0.3">
      <c r="A188" s="203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201" t="s">
        <v>766</v>
      </c>
      <c r="G188" s="201">
        <v>14050</v>
      </c>
      <c r="H188" t="str">
        <f>_xlfn.IFNA(INDEX(DimosNaiOxi,MATCH(ΤΚ!E188,DimosNai,0)),"")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203">
        <f t="shared" si="15"/>
        <v>207</v>
      </c>
      <c r="L188" t="str">
        <f t="shared" si="16"/>
        <v>ΚΕΝΤΡΙΚΗΣ ΜΑΚΕΔΟΝΙΑΣ</v>
      </c>
      <c r="M188" t="str">
        <f t="shared" si="17"/>
        <v>ΚΕΝΤΡΙΚΗΣ ΜΑΚΕΔΟΝΙΑΣ - ΠΕΛΛΑΣ</v>
      </c>
      <c r="N188" s="201">
        <f t="shared" si="19"/>
        <v>14382</v>
      </c>
      <c r="O188" s="201" t="str">
        <f t="shared" si="20"/>
        <v>Πέλλας</v>
      </c>
    </row>
    <row r="189" spans="1:15" x14ac:dyDescent="0.3">
      <c r="A189" s="203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201" t="s">
        <v>767</v>
      </c>
      <c r="G189" s="201">
        <v>14062</v>
      </c>
      <c r="H189" t="str">
        <f>_xlfn.IFNA(INDEX(DimosNaiOxi,MATCH(ΤΚ!E189,DimosNai,0)),"")</f>
        <v>ΝΑΙ</v>
      </c>
      <c r="I189" t="str">
        <f>LOOKUP(B189,ΠΕΡΙΦΕΡΕΙΑ!$A$2:$A$14,ΠΕΡΙΦΕΡΕΙΑ!$B$2:$B$14)</f>
        <v>Μερική</v>
      </c>
      <c r="J189">
        <f t="shared" si="18"/>
        <v>188</v>
      </c>
      <c r="K189" s="203">
        <f t="shared" si="15"/>
        <v>208</v>
      </c>
      <c r="L189" t="str">
        <f t="shared" si="16"/>
        <v>ΚΕΝΤΡΙΚΗΣ ΜΑΚΕΔΟΝΙΑΣ</v>
      </c>
      <c r="M189" t="str">
        <f t="shared" si="17"/>
        <v>ΚΕΝΤΡΙΚΗΣ ΜΑΚΕΔΟΝΙΑΣ - ΠΟΛΥΓΥΡΟΥ</v>
      </c>
      <c r="N189" s="201">
        <f t="shared" si="19"/>
        <v>14414</v>
      </c>
      <c r="O189" s="201" t="str">
        <f t="shared" si="20"/>
        <v>Πολυγύρου</v>
      </c>
    </row>
    <row r="190" spans="1:15" x14ac:dyDescent="0.3">
      <c r="A190" s="203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201" t="s">
        <v>768</v>
      </c>
      <c r="G190" s="201">
        <v>14080</v>
      </c>
      <c r="H190" t="str">
        <f>_xlfn.IFNA(INDEX(DimosNaiOxi,MATCH(ΤΚ!E190,DimosNai,0)),"")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203">
        <f t="shared" si="15"/>
        <v>209</v>
      </c>
      <c r="L190" t="str">
        <f t="shared" si="16"/>
        <v>ΚΕΝΤΡΙΚΗΣ ΜΑΚΕΔΟΝΙΑΣ</v>
      </c>
      <c r="M190" t="str">
        <f t="shared" si="17"/>
        <v>ΚΕΝΤΡΙΚΗΣ ΜΑΚΕΔΟΝΙΑΣ - ΠΥΔΝΑΣ – ΚΟΛΙΝΔΡΟΥ</v>
      </c>
      <c r="N190" s="201">
        <f t="shared" si="19"/>
        <v>14422</v>
      </c>
      <c r="O190" s="201" t="str">
        <f t="shared" si="20"/>
        <v>Πύδνας - Κολινδρού</v>
      </c>
    </row>
    <row r="191" spans="1:15" x14ac:dyDescent="0.3">
      <c r="A191" s="203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201" t="s">
        <v>769</v>
      </c>
      <c r="G191" s="201">
        <v>14088</v>
      </c>
      <c r="H191" t="str">
        <f>_xlfn.IFNA(INDEX(DimosNaiOxi,MATCH(ΤΚ!E191,DimosNai,0)),"")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203">
        <f t="shared" si="15"/>
        <v>210</v>
      </c>
      <c r="L191" t="str">
        <f t="shared" si="16"/>
        <v>ΚΕΝΤΡΙΚΗΣ ΜΑΚΕΔΟΝΙΑΣ</v>
      </c>
      <c r="M191" t="str">
        <f t="shared" si="17"/>
        <v>ΚΕΝΤΡΙΚΗΣ ΜΑΚΕΔΟΝΙΑΣ - ΠΥΛΑΙΑΣ – ΧΟΡΤΙΑΤΗ</v>
      </c>
      <c r="N191" s="201">
        <f t="shared" si="19"/>
        <v>14424</v>
      </c>
      <c r="O191" s="201" t="str">
        <f t="shared" si="20"/>
        <v>Πυλαίας - Χορτιάτη</v>
      </c>
    </row>
    <row r="192" spans="1:15" x14ac:dyDescent="0.3">
      <c r="A192" s="203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201" t="s">
        <v>770</v>
      </c>
      <c r="G192" s="201">
        <v>13914</v>
      </c>
      <c r="H192" t="str">
        <f>_xlfn.IFNA(INDEX(DimosNaiOxi,MATCH(ΤΚ!E192,DimosNai,0)),"")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203">
        <f t="shared" si="15"/>
        <v>211</v>
      </c>
      <c r="L192" t="str">
        <f t="shared" si="16"/>
        <v>ΚΕΝΤΡΙΚΗΣ ΜΑΚΕΔΟΝΙΑΣ</v>
      </c>
      <c r="M192" t="str">
        <f t="shared" si="17"/>
        <v>ΚΕΝΤΡΙΚΗΣ ΜΑΚΕΔΟΝΙΑΣ - ΣΕΡΡΩΝ</v>
      </c>
      <c r="N192" s="201">
        <f t="shared" si="19"/>
        <v>14454</v>
      </c>
      <c r="O192" s="201" t="str">
        <f t="shared" si="20"/>
        <v>Σερρών</v>
      </c>
    </row>
    <row r="193" spans="1:15" x14ac:dyDescent="0.3">
      <c r="A193" s="203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201" t="s">
        <v>771</v>
      </c>
      <c r="G193" s="201">
        <v>14126</v>
      </c>
      <c r="H193" t="str">
        <f>_xlfn.IFNA(INDEX(DimosNaiOxi,MATCH(ΤΚ!E193,DimosNai,0)),"")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203">
        <f t="shared" si="15"/>
        <v>212</v>
      </c>
      <c r="L193" t="str">
        <f t="shared" si="16"/>
        <v>ΚΕΝΤΡΙΚΗΣ ΜΑΚΕΔΟΝΙΑΣ</v>
      </c>
      <c r="M193" t="str">
        <f t="shared" si="17"/>
        <v>ΚΕΝΤΡΙΚΗΣ ΜΑΚΕΔΟΝΙΑΣ - ΣΙΘΩΝΙΑΣ</v>
      </c>
      <c r="N193" s="201">
        <f t="shared" si="19"/>
        <v>14456</v>
      </c>
      <c r="O193" s="201" t="str">
        <f t="shared" si="20"/>
        <v>Σιθωνίας</v>
      </c>
    </row>
    <row r="194" spans="1:15" x14ac:dyDescent="0.3">
      <c r="A194" s="203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201" t="s">
        <v>772</v>
      </c>
      <c r="G194" s="201">
        <v>14128</v>
      </c>
      <c r="H194" t="str">
        <f>_xlfn.IFNA(INDEX(DimosNaiOxi,MATCH(ΤΚ!E194,DimosNai,0)),"")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203">
        <f t="shared" ref="K194:K257" si="22">SMALL(J:J,A194)</f>
        <v>213</v>
      </c>
      <c r="L194" t="str">
        <f t="shared" ref="L194:L257" si="23">IF(ISNUMBER(K194),LOOKUP(K194,A:A,B:B),"")</f>
        <v>ΚΕΝΤΡΙΚΗΣ ΜΑΚΕΔΟΝΙΑΣ</v>
      </c>
      <c r="M194" t="str">
        <f t="shared" ref="M194:M257" si="24">IF(ISNUMBER(K194),LOOKUP(K194,A:A,B:B)&amp;" - "&amp;LOOKUP(K194,A:A,D:D),"")</f>
        <v>ΚΕΝΤΡΙΚΗΣ ΜΑΚΕΔΟΝΙΑΣ - ΣΙΝΤΙΚΗΣ</v>
      </c>
      <c r="N194" s="201">
        <f t="shared" si="19"/>
        <v>14462</v>
      </c>
      <c r="O194" s="201" t="str">
        <f t="shared" si="20"/>
        <v>Σιντικής</v>
      </c>
    </row>
    <row r="195" spans="1:15" x14ac:dyDescent="0.3">
      <c r="A195" s="203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201" t="s">
        <v>773</v>
      </c>
      <c r="G195" s="201">
        <v>14130</v>
      </c>
      <c r="H195" t="str">
        <f>_xlfn.IFNA(INDEX(DimosNaiOxi,MATCH(ΤΚ!E195,DimosNai,0)),"")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203">
        <f t="shared" si="22"/>
        <v>214</v>
      </c>
      <c r="L195" t="str">
        <f t="shared" si="23"/>
        <v>ΚΕΝΤΡΙΚΗΣ ΜΑΚΕΔΟΝΙΑΣ</v>
      </c>
      <c r="M195" t="str">
        <f t="shared" si="24"/>
        <v>ΚΕΝΤΡΙΚΗΣ ΜΑΚΕΔΟΝΙΑΣ - ΣΚΥΔΡΑΣ</v>
      </c>
      <c r="N195" s="201">
        <f t="shared" ref="N195:N258" si="26">IF(ISNUMBER(K195),LOOKUP(K195,A:A,G:G),"")</f>
        <v>14472</v>
      </c>
      <c r="O195" s="201" t="str">
        <f t="shared" ref="O195:O258" si="27">IF(ISNUMBER(K195),LOOKUP(K195,A:A,F:F),"")</f>
        <v>Σκύδρας</v>
      </c>
    </row>
    <row r="196" spans="1:15" x14ac:dyDescent="0.3">
      <c r="A196" s="203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201" t="s">
        <v>774</v>
      </c>
      <c r="G196" s="201">
        <v>14176</v>
      </c>
      <c r="H196" t="str">
        <f>_xlfn.IFNA(INDEX(DimosNaiOxi,MATCH(ΤΚ!E196,DimosNai,0)),"")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203">
        <f t="shared" si="22"/>
        <v>215</v>
      </c>
      <c r="L196" t="str">
        <f t="shared" si="23"/>
        <v>ΚΕΝΤΡΙΚΗΣ ΜΑΚΕΔΟΝΙΑΣ</v>
      </c>
      <c r="M196" t="str">
        <f t="shared" si="24"/>
        <v>ΚΕΝΤΡΙΚΗΣ ΜΑΚΕΔΟΝΙΑΣ - ΧΑΛΚΗΔΟΝΟΣ</v>
      </c>
      <c r="N196" s="201">
        <f t="shared" si="26"/>
        <v>14544</v>
      </c>
      <c r="O196" s="201" t="str">
        <f t="shared" si="27"/>
        <v>Χαλκηδόνος</v>
      </c>
    </row>
    <row r="197" spans="1:15" x14ac:dyDescent="0.3">
      <c r="A197" s="203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201" t="s">
        <v>775</v>
      </c>
      <c r="G197" s="201">
        <v>14192</v>
      </c>
      <c r="H197" t="str">
        <f>_xlfn.IFNA(INDEX(DimosNaiOxi,MATCH(ΤΚ!E197,DimosNai,0)),"")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203">
        <f t="shared" si="22"/>
        <v>216</v>
      </c>
      <c r="L197" t="str">
        <f t="shared" si="23"/>
        <v>ΚΕΝΤΡΙΚΗΣ ΜΑΚΕΔΟΝΙΑΣ</v>
      </c>
      <c r="M197" t="str">
        <f t="shared" si="24"/>
        <v>ΚΕΝΤΡΙΚΗΣ ΜΑΚΕΔΟΝΙΑΣ - ΩΡΑΙΟΚΑΣΤΡΟΥ</v>
      </c>
      <c r="N197" s="201">
        <f t="shared" si="26"/>
        <v>14534</v>
      </c>
      <c r="O197" s="201" t="str">
        <f t="shared" si="27"/>
        <v>Ωραιοκάστρου</v>
      </c>
    </row>
    <row r="198" spans="1:15" x14ac:dyDescent="0.3">
      <c r="A198" s="203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201" t="s">
        <v>776</v>
      </c>
      <c r="G198" s="201">
        <v>14200</v>
      </c>
      <c r="H198" t="str">
        <f>_xlfn.IFNA(INDEX(DimosNaiOxi,MATCH(ΤΚ!E198,DimosNai,0)),"")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203">
        <f t="shared" si="22"/>
        <v>217</v>
      </c>
      <c r="L198" t="str">
        <f t="shared" si="23"/>
        <v>ΚΡΗΤΗΣ</v>
      </c>
      <c r="M198" t="str">
        <f t="shared" si="24"/>
        <v>ΚΡΗΤΗΣ - ΑΓΙΟΥ ΒΑΣΙΛΕΙΟΥ</v>
      </c>
      <c r="N198" s="201">
        <f t="shared" si="26"/>
        <v>14554</v>
      </c>
      <c r="O198" s="201" t="str">
        <f t="shared" si="27"/>
        <v>Αγίου Βασιλείου</v>
      </c>
    </row>
    <row r="199" spans="1:15" x14ac:dyDescent="0.3">
      <c r="A199" s="203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201" t="s">
        <v>777</v>
      </c>
      <c r="G199" s="201">
        <v>14212</v>
      </c>
      <c r="H199" t="str">
        <f>_xlfn.IFNA(INDEX(DimosNaiOxi,MATCH(ΤΚ!E199,DimosNai,0)),"")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203">
        <f t="shared" si="22"/>
        <v>218</v>
      </c>
      <c r="L199" t="str">
        <f t="shared" si="23"/>
        <v>ΚΡΗΤΗΣ</v>
      </c>
      <c r="M199" t="str">
        <f t="shared" si="24"/>
        <v>ΚΡΗΤΗΣ - ΑΓΙΟΥ ΝΙΚΟΛΑΟΥ</v>
      </c>
      <c r="N199" s="201">
        <f t="shared" si="26"/>
        <v>13930</v>
      </c>
      <c r="O199" s="201" t="str">
        <f t="shared" si="27"/>
        <v>Αγίου Νικολάου</v>
      </c>
    </row>
    <row r="200" spans="1:15" x14ac:dyDescent="0.3">
      <c r="A200" s="203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201" t="s">
        <v>778</v>
      </c>
      <c r="G200" s="201">
        <v>14224</v>
      </c>
      <c r="H200" t="str">
        <f>_xlfn.IFNA(INDEX(DimosNaiOxi,MATCH(ΤΚ!E200,DimosNai,0)),"")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203">
        <f t="shared" si="22"/>
        <v>219</v>
      </c>
      <c r="L200" t="str">
        <f t="shared" si="23"/>
        <v>ΚΡΗΤΗΣ</v>
      </c>
      <c r="M200" t="str">
        <f t="shared" si="24"/>
        <v>ΚΡΗΤΗΣ - ΑΜΑΡΙΟΥ</v>
      </c>
      <c r="N200" s="201">
        <f t="shared" si="26"/>
        <v>13962</v>
      </c>
      <c r="O200" s="201" t="str">
        <f t="shared" si="27"/>
        <v>Αμάριου</v>
      </c>
    </row>
    <row r="201" spans="1:15" x14ac:dyDescent="0.3">
      <c r="A201" s="203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201" t="s">
        <v>779</v>
      </c>
      <c r="G201" s="201">
        <v>14172</v>
      </c>
      <c r="H201" t="str">
        <f>_xlfn.IFNA(INDEX(DimosNaiOxi,MATCH(ΤΚ!E201,DimosNai,0)),"")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203">
        <f t="shared" si="22"/>
        <v>220</v>
      </c>
      <c r="L201" t="str">
        <f t="shared" si="23"/>
        <v>ΚΡΗΤΗΣ</v>
      </c>
      <c r="M201" t="str">
        <f t="shared" si="24"/>
        <v>ΚΡΗΤΗΣ - ΑΝΩΓΕΙΩΝ</v>
      </c>
      <c r="N201" s="201">
        <f t="shared" si="26"/>
        <v>13908</v>
      </c>
      <c r="O201" s="201" t="str">
        <f t="shared" si="27"/>
        <v>Ανωγείων</v>
      </c>
    </row>
    <row r="202" spans="1:15" x14ac:dyDescent="0.3">
      <c r="A202" s="203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201" t="s">
        <v>780</v>
      </c>
      <c r="G202" s="201">
        <v>14272</v>
      </c>
      <c r="H202" t="str">
        <f>_xlfn.IFNA(INDEX(DimosNaiOxi,MATCH(ΤΚ!E202,DimosNai,0)),"")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203">
        <f t="shared" si="22"/>
        <v>221</v>
      </c>
      <c r="L202" t="str">
        <f t="shared" si="23"/>
        <v>ΚΡΗΤΗΣ</v>
      </c>
      <c r="M202" t="str">
        <f t="shared" si="24"/>
        <v>ΚΡΗΤΗΣ - ΑΠΟΚΟΡΩΝΟΥ</v>
      </c>
      <c r="N202" s="201">
        <f t="shared" si="26"/>
        <v>13990</v>
      </c>
      <c r="O202" s="201" t="str">
        <f t="shared" si="27"/>
        <v>Αποκορώνου</v>
      </c>
    </row>
    <row r="203" spans="1:15" x14ac:dyDescent="0.3">
      <c r="A203" s="203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201" t="s">
        <v>781</v>
      </c>
      <c r="G203" s="201">
        <v>14332</v>
      </c>
      <c r="H203" t="str">
        <f>_xlfn.IFNA(INDEX(DimosNaiOxi,MATCH(ΤΚ!E203,DimosNai,0)),"")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203">
        <f t="shared" si="22"/>
        <v>222</v>
      </c>
      <c r="L203" t="str">
        <f t="shared" si="23"/>
        <v>ΚΡΗΤΗΣ</v>
      </c>
      <c r="M203" t="str">
        <f t="shared" si="24"/>
        <v>ΚΡΗΤΗΣ - ΑΡΧΑΝΩΝ – ΑΣΤΕΡΟΥΣΙΩΝ</v>
      </c>
      <c r="N203" s="201">
        <f t="shared" si="26"/>
        <v>14002</v>
      </c>
      <c r="O203" s="201" t="str">
        <f t="shared" si="27"/>
        <v>Αρχανών - Αστερουσίων</v>
      </c>
    </row>
    <row r="204" spans="1:15" x14ac:dyDescent="0.3">
      <c r="A204" s="203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201" t="s">
        <v>782</v>
      </c>
      <c r="G204" s="201">
        <v>14334</v>
      </c>
      <c r="H204" t="str">
        <f>_xlfn.IFNA(INDEX(DimosNaiOxi,MATCH(ΤΚ!E204,DimosNai,0)),"")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203">
        <f t="shared" si="22"/>
        <v>223</v>
      </c>
      <c r="L204" t="str">
        <f t="shared" si="23"/>
        <v>ΚΡΗΤΗΣ</v>
      </c>
      <c r="M204" t="str">
        <f t="shared" si="24"/>
        <v>ΚΡΗΤΗΣ - ΒΙΑΝΝΟΥ</v>
      </c>
      <c r="N204" s="201">
        <f t="shared" si="26"/>
        <v>14016</v>
      </c>
      <c r="O204" s="201" t="str">
        <f t="shared" si="27"/>
        <v>Βιάννου</v>
      </c>
    </row>
    <row r="205" spans="1:15" x14ac:dyDescent="0.3">
      <c r="A205" s="203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201" t="s">
        <v>783</v>
      </c>
      <c r="G205" s="201">
        <v>14318</v>
      </c>
      <c r="H205" t="str">
        <f>_xlfn.IFNA(INDEX(DimosNaiOxi,MATCH(ΤΚ!E205,DimosNai,0)),"")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203">
        <f t="shared" si="22"/>
        <v>224</v>
      </c>
      <c r="L205" t="str">
        <f t="shared" si="23"/>
        <v>ΚΡΗΤΗΣ</v>
      </c>
      <c r="M205" t="str">
        <f t="shared" si="24"/>
        <v>ΚΡΗΤΗΣ - ΓΑΥΔΟΥ</v>
      </c>
      <c r="N205" s="201">
        <f t="shared" si="26"/>
        <v>14026</v>
      </c>
      <c r="O205" s="201" t="str">
        <f t="shared" si="27"/>
        <v>Γαύδου</v>
      </c>
    </row>
    <row r="206" spans="1:15" x14ac:dyDescent="0.3">
      <c r="A206" s="203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201" t="s">
        <v>784</v>
      </c>
      <c r="G206" s="201">
        <v>14384</v>
      </c>
      <c r="H206" t="str">
        <f>_xlfn.IFNA(INDEX(DimosNaiOxi,MATCH(ΤΚ!E206,DimosNai,0)),"")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203">
        <f t="shared" si="22"/>
        <v>225</v>
      </c>
      <c r="L206" t="str">
        <f t="shared" si="23"/>
        <v>ΚΡΗΤΗΣ</v>
      </c>
      <c r="M206" t="str">
        <f t="shared" si="24"/>
        <v>ΚΡΗΤΗΣ - ΓΟΡΤΥΝΑΣ</v>
      </c>
      <c r="N206" s="201">
        <f t="shared" si="26"/>
        <v>14044</v>
      </c>
      <c r="O206" s="201" t="str">
        <f t="shared" si="27"/>
        <v>Γόρτυνας</v>
      </c>
    </row>
    <row r="207" spans="1:15" x14ac:dyDescent="0.3">
      <c r="A207" s="203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201" t="s">
        <v>785</v>
      </c>
      <c r="G207" s="201">
        <v>14368</v>
      </c>
      <c r="H207" t="str">
        <f>_xlfn.IFNA(INDEX(DimosNaiOxi,MATCH(ΤΚ!E207,DimosNai,0)),"")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203">
        <f t="shared" si="22"/>
        <v>226</v>
      </c>
      <c r="L207" t="str">
        <f t="shared" si="23"/>
        <v>ΚΡΗΤΗΣ</v>
      </c>
      <c r="M207" t="str">
        <f t="shared" si="24"/>
        <v>ΚΡΗΤΗΣ - ΗΡΑΚΛΕΙΟΥ</v>
      </c>
      <c r="N207" s="201">
        <f t="shared" si="26"/>
        <v>14122</v>
      </c>
      <c r="O207" s="201" t="str">
        <f t="shared" si="27"/>
        <v>Ηρακλείου</v>
      </c>
    </row>
    <row r="208" spans="1:15" x14ac:dyDescent="0.3">
      <c r="A208" s="203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201" t="s">
        <v>786</v>
      </c>
      <c r="G208" s="201">
        <v>14382</v>
      </c>
      <c r="H208" t="str">
        <f>_xlfn.IFNA(INDEX(DimosNaiOxi,MATCH(ΤΚ!E208,DimosNai,0)),"")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203">
        <f t="shared" si="22"/>
        <v>227</v>
      </c>
      <c r="L208" t="str">
        <f t="shared" si="23"/>
        <v>ΚΡΗΤΗΣ</v>
      </c>
      <c r="M208" t="str">
        <f t="shared" si="24"/>
        <v>ΚΡΗΤΗΣ - ΙΕΡΑΠΕΤΡΑΣ</v>
      </c>
      <c r="N208" s="201">
        <f t="shared" si="26"/>
        <v>14134</v>
      </c>
      <c r="O208" s="201" t="str">
        <f t="shared" si="27"/>
        <v>Ιεράπετρας</v>
      </c>
    </row>
    <row r="209" spans="1:15" x14ac:dyDescent="0.3">
      <c r="A209" s="203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201" t="s">
        <v>787</v>
      </c>
      <c r="G209" s="201">
        <v>14414</v>
      </c>
      <c r="H209" t="str">
        <f>_xlfn.IFNA(INDEX(DimosNaiOxi,MATCH(ΤΚ!E209,DimosNai,0)),"")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203">
        <f t="shared" si="22"/>
        <v>228</v>
      </c>
      <c r="L209" t="str">
        <f t="shared" si="23"/>
        <v>ΚΡΗΤΗΣ</v>
      </c>
      <c r="M209" t="str">
        <f t="shared" si="24"/>
        <v>ΚΡΗΤΗΣ - ΚΑΝΤΑΝΟΥ – ΣΕΛΙΝΟΥ</v>
      </c>
      <c r="N209" s="201">
        <f t="shared" si="26"/>
        <v>14186</v>
      </c>
      <c r="O209" s="201" t="str">
        <f t="shared" si="27"/>
        <v>Καντάνου - Σέλινου</v>
      </c>
    </row>
    <row r="210" spans="1:15" x14ac:dyDescent="0.3">
      <c r="A210" s="203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201" t="s">
        <v>788</v>
      </c>
      <c r="G210" s="201">
        <v>14422</v>
      </c>
      <c r="H210" t="str">
        <f>_xlfn.IFNA(INDEX(DimosNaiOxi,MATCH(ΤΚ!E210,DimosNai,0)),"")</f>
        <v>ΝΑΙ</v>
      </c>
      <c r="I210" t="str">
        <f>LOOKUP(B210,ΠΕΡΙΦΕΡΕΙΑ!$A$2:$A$14,ΠΕΡΙΦΕΡΕΙΑ!$B$2:$B$14)</f>
        <v>Μερική</v>
      </c>
      <c r="J210">
        <f t="shared" si="25"/>
        <v>209</v>
      </c>
      <c r="K210" s="203">
        <f t="shared" si="22"/>
        <v>229</v>
      </c>
      <c r="L210" t="str">
        <f t="shared" si="23"/>
        <v>ΚΡΗΤΗΣ</v>
      </c>
      <c r="M210" t="str">
        <f t="shared" si="24"/>
        <v>ΚΡΗΤΗΣ - ΚΙΣΣΑΜΟΥ</v>
      </c>
      <c r="N210" s="201">
        <f t="shared" si="26"/>
        <v>14216</v>
      </c>
      <c r="O210" s="201" t="str">
        <f t="shared" si="27"/>
        <v>Κισσάμου</v>
      </c>
    </row>
    <row r="211" spans="1:15" x14ac:dyDescent="0.3">
      <c r="A211" s="203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201" t="s">
        <v>789</v>
      </c>
      <c r="G211" s="201">
        <v>14424</v>
      </c>
      <c r="H211" t="str">
        <f>_xlfn.IFNA(INDEX(DimosNaiOxi,MATCH(ΤΚ!E211,DimosNai,0)),"")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203">
        <f t="shared" si="22"/>
        <v>230</v>
      </c>
      <c r="L211" t="str">
        <f t="shared" si="23"/>
        <v>ΚΡΗΤΗΣ</v>
      </c>
      <c r="M211" t="str">
        <f t="shared" si="24"/>
        <v>ΚΡΗΤΗΣ - ΜΑΛΕΒΙΖΙΟΥ</v>
      </c>
      <c r="N211" s="201">
        <f t="shared" si="26"/>
        <v>14264</v>
      </c>
      <c r="O211" s="201" t="str">
        <f t="shared" si="27"/>
        <v>Μαλεβιζίου</v>
      </c>
    </row>
    <row r="212" spans="1:15" x14ac:dyDescent="0.3">
      <c r="A212" s="203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201" t="s">
        <v>790</v>
      </c>
      <c r="G212" s="201">
        <v>14454</v>
      </c>
      <c r="H212" t="str">
        <f>_xlfn.IFNA(INDEX(DimosNaiOxi,MATCH(ΤΚ!E212,DimosNai,0)),"")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203">
        <f t="shared" si="22"/>
        <v>231</v>
      </c>
      <c r="L212" t="str">
        <f t="shared" si="23"/>
        <v>ΚΡΗΤΗΣ</v>
      </c>
      <c r="M212" t="str">
        <f t="shared" si="24"/>
        <v>ΚΡΗΤΗΣ - ΜΙΝΩΑ ΠΕΔΙΑΔΑΣ</v>
      </c>
      <c r="N212" s="201">
        <f t="shared" si="26"/>
        <v>14298</v>
      </c>
      <c r="O212" s="201" t="str">
        <f t="shared" si="27"/>
        <v>Μινώα Πεδιάδας</v>
      </c>
    </row>
    <row r="213" spans="1:15" x14ac:dyDescent="0.3">
      <c r="A213" s="203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201" t="s">
        <v>791</v>
      </c>
      <c r="G213" s="201">
        <v>14456</v>
      </c>
      <c r="H213" t="str">
        <f>_xlfn.IFNA(INDEX(DimosNaiOxi,MATCH(ΤΚ!E213,DimosNai,0)),"")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203">
        <f t="shared" si="22"/>
        <v>232</v>
      </c>
      <c r="L213" t="str">
        <f t="shared" si="23"/>
        <v>ΚΡΗΤΗΣ</v>
      </c>
      <c r="M213" t="str">
        <f t="shared" si="24"/>
        <v>ΚΡΗΤΗΣ - ΜΥΛΟΠΟΤΑΜΟΥ</v>
      </c>
      <c r="N213" s="201">
        <f t="shared" si="26"/>
        <v>14270</v>
      </c>
      <c r="O213" s="201" t="str">
        <f t="shared" si="27"/>
        <v>Μυλοποτάμου</v>
      </c>
    </row>
    <row r="214" spans="1:15" x14ac:dyDescent="0.3">
      <c r="A214" s="203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201" t="s">
        <v>792</v>
      </c>
      <c r="G214" s="201">
        <v>14462</v>
      </c>
      <c r="H214" t="str">
        <f>_xlfn.IFNA(INDEX(DimosNaiOxi,MATCH(ΤΚ!E214,DimosNai,0)),"")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203">
        <f t="shared" si="22"/>
        <v>233</v>
      </c>
      <c r="L214" t="str">
        <f t="shared" si="23"/>
        <v>ΚΡΗΤΗΣ</v>
      </c>
      <c r="M214" t="str">
        <f t="shared" si="24"/>
        <v>ΚΡΗΤΗΣ - ΟΡΟΠΕΔΙΟΥ ΛΑΣΙΘΙΟΥ</v>
      </c>
      <c r="N214" s="201">
        <f t="shared" si="26"/>
        <v>14358</v>
      </c>
      <c r="O214" s="201" t="str">
        <f t="shared" si="27"/>
        <v>Οροπεδίου Λασιθίου</v>
      </c>
    </row>
    <row r="215" spans="1:15" x14ac:dyDescent="0.3">
      <c r="A215" s="203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201" t="s">
        <v>793</v>
      </c>
      <c r="G215" s="201">
        <v>14472</v>
      </c>
      <c r="H215" t="str">
        <f>_xlfn.IFNA(INDEX(DimosNaiOxi,MATCH(ΤΚ!E215,DimosNai,0)),"")</f>
        <v>ΝΑΙ</v>
      </c>
      <c r="I215" t="str">
        <f>LOOKUP(B215,ΠΕΡΙΦΕΡΕΙΑ!$A$2:$A$14,ΠΕΡΙΦΕΡΕΙΑ!$B$2:$B$14)</f>
        <v>Μερική</v>
      </c>
      <c r="J215">
        <f t="shared" si="25"/>
        <v>214</v>
      </c>
      <c r="K215" s="203">
        <f t="shared" si="22"/>
        <v>234</v>
      </c>
      <c r="L215" t="str">
        <f t="shared" si="23"/>
        <v>ΚΡΗΤΗΣ</v>
      </c>
      <c r="M215" t="str">
        <f t="shared" si="24"/>
        <v>ΚΡΗΤΗΣ - ΠΛΑΤΑΝΙΑ</v>
      </c>
      <c r="N215" s="201">
        <f t="shared" si="26"/>
        <v>14412</v>
      </c>
      <c r="O215" s="201" t="str">
        <f t="shared" si="27"/>
        <v>Πλατανιά</v>
      </c>
    </row>
    <row r="216" spans="1:15" x14ac:dyDescent="0.3">
      <c r="A216" s="203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201" t="s">
        <v>794</v>
      </c>
      <c r="G216" s="201">
        <v>14544</v>
      </c>
      <c r="H216" t="str">
        <f>_xlfn.IFNA(INDEX(DimosNaiOxi,MATCH(ΤΚ!E216,DimosNai,0)),"")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203">
        <f t="shared" si="22"/>
        <v>235</v>
      </c>
      <c r="L216" t="str">
        <f t="shared" si="23"/>
        <v>ΚΡΗΤΗΣ</v>
      </c>
      <c r="M216" t="str">
        <f t="shared" si="24"/>
        <v>ΚΡΗΤΗΣ - ΡΕΘΥΜΝΗΣ</v>
      </c>
      <c r="N216" s="201">
        <f t="shared" si="26"/>
        <v>14428</v>
      </c>
      <c r="O216" s="201" t="str">
        <f t="shared" si="27"/>
        <v>Ρεθύμνης</v>
      </c>
    </row>
    <row r="217" spans="1:15" x14ac:dyDescent="0.3">
      <c r="A217" s="203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201" t="s">
        <v>795</v>
      </c>
      <c r="G217" s="201">
        <v>14534</v>
      </c>
      <c r="H217" t="str">
        <f>_xlfn.IFNA(INDEX(DimosNaiOxi,MATCH(ΤΚ!E217,DimosNai,0)),"")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203">
        <f t="shared" si="22"/>
        <v>236</v>
      </c>
      <c r="L217" t="str">
        <f t="shared" si="23"/>
        <v>ΚΡΗΤΗΣ</v>
      </c>
      <c r="M217" t="str">
        <f t="shared" si="24"/>
        <v>ΚΡΗΤΗΣ - ΣΗΤΕΙΑΣ</v>
      </c>
      <c r="N217" s="201">
        <f t="shared" si="26"/>
        <v>14452</v>
      </c>
      <c r="O217" s="201" t="str">
        <f t="shared" si="27"/>
        <v>Σητείας</v>
      </c>
    </row>
    <row r="218" spans="1:15" x14ac:dyDescent="0.3">
      <c r="A218" s="203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201" t="s">
        <v>796</v>
      </c>
      <c r="G218" s="201">
        <v>14554</v>
      </c>
      <c r="H218" t="str">
        <f>_xlfn.IFNA(INDEX(DimosNaiOxi,MATCH(ΤΚ!E218,DimosNai,0)),"")</f>
        <v>ΝΑΙ</v>
      </c>
      <c r="I218" t="str">
        <f>LOOKUP(B218,ΠΕΡΙΦΕΡΕΙΑ!$A$2:$A$14,ΠΕΡΙΦΕΡΕΙΑ!$B$2:$B$14)</f>
        <v>Μερική</v>
      </c>
      <c r="J218">
        <f t="shared" si="25"/>
        <v>217</v>
      </c>
      <c r="K218" s="203">
        <f t="shared" si="22"/>
        <v>237</v>
      </c>
      <c r="L218" t="str">
        <f t="shared" si="23"/>
        <v>ΚΡΗΤΗΣ</v>
      </c>
      <c r="M218" t="str">
        <f t="shared" si="24"/>
        <v>ΚΡΗΤΗΣ - ΣΦΑΚΙΩΝ</v>
      </c>
      <c r="N218" s="201">
        <f t="shared" si="26"/>
        <v>14442</v>
      </c>
      <c r="O218" s="201" t="str">
        <f t="shared" si="27"/>
        <v>Σφακίων</v>
      </c>
    </row>
    <row r="219" spans="1:15" x14ac:dyDescent="0.3">
      <c r="A219" s="203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201" t="s">
        <v>797</v>
      </c>
      <c r="G219" s="201">
        <v>13930</v>
      </c>
      <c r="H219" t="str">
        <f>_xlfn.IFNA(INDEX(DimosNaiOxi,MATCH(ΤΚ!E219,DimosNai,0)),"")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203">
        <f t="shared" si="22"/>
        <v>238</v>
      </c>
      <c r="L219" t="str">
        <f t="shared" si="23"/>
        <v>ΚΡΗΤΗΣ</v>
      </c>
      <c r="M219" t="str">
        <f t="shared" si="24"/>
        <v>ΚΡΗΤΗΣ - ΦΑΙΣΤΟΥ</v>
      </c>
      <c r="N219" s="201">
        <f t="shared" si="26"/>
        <v>14510</v>
      </c>
      <c r="O219" s="201" t="str">
        <f t="shared" si="27"/>
        <v>Φαιστού</v>
      </c>
    </row>
    <row r="220" spans="1:15" x14ac:dyDescent="0.3">
      <c r="A220" s="203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201" t="s">
        <v>798</v>
      </c>
      <c r="G220" s="201">
        <v>13962</v>
      </c>
      <c r="H220" t="str">
        <f>_xlfn.IFNA(INDEX(DimosNaiOxi,MATCH(ΤΚ!E220,DimosNai,0)),"")</f>
        <v>ΝΑΙ</v>
      </c>
      <c r="I220" t="str">
        <f>LOOKUP(B220,ΠΕΡΙΦΕΡΕΙΑ!$A$2:$A$14,ΠΕΡΙΦΕΡΕΙΑ!$B$2:$B$14)</f>
        <v>Μερική</v>
      </c>
      <c r="J220">
        <f t="shared" si="25"/>
        <v>219</v>
      </c>
      <c r="K220" s="203">
        <f t="shared" si="22"/>
        <v>239</v>
      </c>
      <c r="L220" t="str">
        <f t="shared" si="23"/>
        <v>ΚΡΗΤΗΣ</v>
      </c>
      <c r="M220" t="str">
        <f t="shared" si="24"/>
        <v>ΚΡΗΤΗΣ - ΧΑΝΙΩΝ</v>
      </c>
      <c r="N220" s="201">
        <f t="shared" si="26"/>
        <v>14532</v>
      </c>
      <c r="O220" s="201" t="str">
        <f t="shared" si="27"/>
        <v>Χανίων</v>
      </c>
    </row>
    <row r="221" spans="1:15" x14ac:dyDescent="0.3">
      <c r="A221" s="203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201" t="s">
        <v>799</v>
      </c>
      <c r="G221" s="201">
        <v>13908</v>
      </c>
      <c r="H221" t="str">
        <f>_xlfn.IFNA(INDEX(DimosNaiOxi,MATCH(ΤΚ!E221,DimosNai,0)),"")</f>
        <v>ΝΑΙ</v>
      </c>
      <c r="I221" t="str">
        <f>LOOKUP(B221,ΠΕΡΙΦΕΡΕΙΑ!$A$2:$A$14,ΠΕΡΙΦΕΡΕΙΑ!$B$2:$B$14)</f>
        <v>Μερική</v>
      </c>
      <c r="J221">
        <f t="shared" si="25"/>
        <v>220</v>
      </c>
      <c r="K221" s="203">
        <f t="shared" si="22"/>
        <v>240</v>
      </c>
      <c r="L221" t="str">
        <f t="shared" si="23"/>
        <v>ΚΡΗΤΗΣ</v>
      </c>
      <c r="M221" t="str">
        <f t="shared" si="24"/>
        <v>ΚΡΗΤΗΣ - ΧΕΡΣΟΝΗΣΟΥ</v>
      </c>
      <c r="N221" s="201">
        <f t="shared" si="26"/>
        <v>14540</v>
      </c>
      <c r="O221" s="201" t="str">
        <f t="shared" si="27"/>
        <v>Χερσονήσου</v>
      </c>
    </row>
    <row r="222" spans="1:15" x14ac:dyDescent="0.3">
      <c r="A222" s="203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201" t="s">
        <v>800</v>
      </c>
      <c r="G222" s="201">
        <v>13990</v>
      </c>
      <c r="H222" t="str">
        <f>_xlfn.IFNA(INDEX(DimosNaiOxi,MATCH(ΤΚ!E222,DimosNai,0)),"")</f>
        <v>ΝΑΙ</v>
      </c>
      <c r="I222" t="str">
        <f>LOOKUP(B222,ΠΕΡΙΦΕΡΕΙΑ!$A$2:$A$14,ΠΕΡΙΦΕΡΕΙΑ!$B$2:$B$14)</f>
        <v>Μερική</v>
      </c>
      <c r="J222">
        <f t="shared" si="25"/>
        <v>221</v>
      </c>
      <c r="K222" s="203">
        <f t="shared" si="22"/>
        <v>245</v>
      </c>
      <c r="L222" t="str">
        <f t="shared" si="23"/>
        <v>ΝΟΤΙΟΥ ΑΙΓΑΙΟΥ</v>
      </c>
      <c r="M222" t="str">
        <f t="shared" si="24"/>
        <v>ΝΟΤΙΟΥ ΑΙΓΑΙΟΥ - ΑΝΤΙΠΑΡΟΥ</v>
      </c>
      <c r="N222" s="201">
        <f t="shared" si="26"/>
        <v>13986</v>
      </c>
      <c r="O222" s="201" t="str">
        <f t="shared" si="27"/>
        <v>Αντιπάρου</v>
      </c>
    </row>
    <row r="223" spans="1:15" x14ac:dyDescent="0.3">
      <c r="A223" s="203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201" t="s">
        <v>801</v>
      </c>
      <c r="G223" s="201">
        <v>14002</v>
      </c>
      <c r="H223" t="str">
        <f>_xlfn.IFNA(INDEX(DimosNaiOxi,MATCH(ΤΚ!E223,DimosNai,0)),"")</f>
        <v>ΝΑΙ</v>
      </c>
      <c r="I223" t="str">
        <f>LOOKUP(B223,ΠΕΡΙΦΕΡΕΙΑ!$A$2:$A$14,ΠΕΡΙΦΕΡΕΙΑ!$B$2:$B$14)</f>
        <v>Μερική</v>
      </c>
      <c r="J223">
        <f t="shared" si="25"/>
        <v>222</v>
      </c>
      <c r="K223" s="203">
        <f t="shared" si="22"/>
        <v>255</v>
      </c>
      <c r="L223" t="str">
        <f t="shared" si="23"/>
        <v>ΝΟΤΙΟΥ ΑΙΓΑΙΟΥ</v>
      </c>
      <c r="M223" t="str">
        <f t="shared" si="24"/>
        <v>ΝΟΤΙΟΥ ΑΙΓΑΙΟΥ - ΚΩ</v>
      </c>
      <c r="N223" s="201">
        <f t="shared" si="26"/>
        <v>14170</v>
      </c>
      <c r="O223" s="201" t="str">
        <f t="shared" si="27"/>
        <v>Κω</v>
      </c>
    </row>
    <row r="224" spans="1:15" x14ac:dyDescent="0.3">
      <c r="A224" s="203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201" t="s">
        <v>802</v>
      </c>
      <c r="G224" s="201">
        <v>14016</v>
      </c>
      <c r="H224" t="str">
        <f>_xlfn.IFNA(INDEX(DimosNaiOxi,MATCH(ΤΚ!E224,DimosNai,0)),"")</f>
        <v>ΝΑΙ</v>
      </c>
      <c r="I224" t="str">
        <f>LOOKUP(B224,ΠΕΡΙΦΕΡΕΙΑ!$A$2:$A$14,ΠΕΡΙΦΕΡΕΙΑ!$B$2:$B$14)</f>
        <v>Μερική</v>
      </c>
      <c r="J224">
        <f t="shared" si="25"/>
        <v>223</v>
      </c>
      <c r="K224" s="203">
        <f t="shared" si="22"/>
        <v>260</v>
      </c>
      <c r="L224" t="str">
        <f t="shared" si="23"/>
        <v>ΝΟΤΙΟΥ ΑΙΓΑΙΟΥ</v>
      </c>
      <c r="M224" t="str">
        <f t="shared" si="24"/>
        <v>ΝΟΤΙΟΥ ΑΙΓΑΙΟΥ - ΜΥΚΟΝΟΥ</v>
      </c>
      <c r="N224" s="201">
        <f t="shared" si="26"/>
        <v>14306</v>
      </c>
      <c r="O224" s="201" t="str">
        <f t="shared" si="27"/>
        <v>Μυκόνου</v>
      </c>
    </row>
    <row r="225" spans="1:15" x14ac:dyDescent="0.3">
      <c r="A225" s="203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201" t="s">
        <v>803</v>
      </c>
      <c r="G225" s="201">
        <v>14026</v>
      </c>
      <c r="H225" t="str">
        <f>_xlfn.IFNA(INDEX(DimosNaiOxi,MATCH(ΤΚ!E225,DimosNai,0)),"")</f>
        <v>ΝΑΙ</v>
      </c>
      <c r="I225" t="str">
        <f>LOOKUP(B225,ΠΕΡΙΦΕΡΕΙΑ!$A$2:$A$14,ΠΕΡΙΦΕΡΕΙΑ!$B$2:$B$14)</f>
        <v>Μερική</v>
      </c>
      <c r="J225">
        <f t="shared" si="25"/>
        <v>224</v>
      </c>
      <c r="K225" s="203">
        <f t="shared" si="22"/>
        <v>261</v>
      </c>
      <c r="L225" t="str">
        <f t="shared" si="23"/>
        <v>ΝΟΤΙΟΥ ΑΙΓΑΙΟΥ</v>
      </c>
      <c r="M225" t="str">
        <f t="shared" si="24"/>
        <v>ΝΟΤΙΟΥ ΑΙΓΑΙΟΥ - ΝΑΞΟΥ ΚΑΙ ΜΙΚΡΩΝ ΚΥΚΛΑΔΩΝ</v>
      </c>
      <c r="N225" s="201">
        <f t="shared" si="26"/>
        <v>14310</v>
      </c>
      <c r="O225" s="201" t="str">
        <f t="shared" si="27"/>
        <v>Νάξου &amp; Μικρών Κυκλάδων</v>
      </c>
    </row>
    <row r="226" spans="1:15" x14ac:dyDescent="0.3">
      <c r="A226" s="203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201" t="s">
        <v>804</v>
      </c>
      <c r="G226" s="201">
        <v>14044</v>
      </c>
      <c r="H226" t="str">
        <f>_xlfn.IFNA(INDEX(DimosNaiOxi,MATCH(ΤΚ!E226,DimosNai,0)),"")</f>
        <v>ΝΑΙ</v>
      </c>
      <c r="I226" t="str">
        <f>LOOKUP(B226,ΠΕΡΙΦΕΡΕΙΑ!$A$2:$A$14,ΠΕΡΙΦΕΡΕΙΑ!$B$2:$B$14)</f>
        <v>Μερική</v>
      </c>
      <c r="J226">
        <f t="shared" si="25"/>
        <v>225</v>
      </c>
      <c r="K226" s="203">
        <f t="shared" si="22"/>
        <v>263</v>
      </c>
      <c r="L226" t="str">
        <f t="shared" si="23"/>
        <v>ΝΟΤΙΟΥ ΑΙΓΑΙΟΥ</v>
      </c>
      <c r="M226" t="str">
        <f t="shared" si="24"/>
        <v>ΝΟΤΙΟΥ ΑΙΓΑΙΟΥ - ΠΑΡΟΥ</v>
      </c>
      <c r="N226" s="201">
        <f t="shared" si="26"/>
        <v>14400</v>
      </c>
      <c r="O226" s="201" t="str">
        <f t="shared" si="27"/>
        <v>Πάρου</v>
      </c>
    </row>
    <row r="227" spans="1:15" x14ac:dyDescent="0.3">
      <c r="A227" s="203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201" t="s">
        <v>805</v>
      </c>
      <c r="G227" s="201">
        <v>14122</v>
      </c>
      <c r="H227" t="str">
        <f>_xlfn.IFNA(INDEX(DimosNaiOxi,MATCH(ΤΚ!E227,DimosNai,0)),"")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203">
        <f t="shared" si="22"/>
        <v>265</v>
      </c>
      <c r="L227" t="str">
        <f t="shared" si="23"/>
        <v>ΝΟΤΙΟΥ ΑΙΓΑΙΟΥ</v>
      </c>
      <c r="M227" t="str">
        <f t="shared" si="24"/>
        <v>ΝΟΤΙΟΥ ΑΙΓΑΙΟΥ - ΡΟΔΟΥ</v>
      </c>
      <c r="N227" s="201">
        <f t="shared" si="26"/>
        <v>14436</v>
      </c>
      <c r="O227" s="201" t="str">
        <f t="shared" si="27"/>
        <v>Ρόδου</v>
      </c>
    </row>
    <row r="228" spans="1:15" x14ac:dyDescent="0.3">
      <c r="A228" s="203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201" t="s">
        <v>806</v>
      </c>
      <c r="G228" s="201">
        <v>14134</v>
      </c>
      <c r="H228" t="str">
        <f>_xlfn.IFNA(INDEX(DimosNaiOxi,MATCH(ΤΚ!E228,DimosNai,0)),"")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203">
        <f t="shared" si="22"/>
        <v>270</v>
      </c>
      <c r="L228" t="str">
        <f t="shared" si="23"/>
        <v>ΝΟΤΙΟΥ ΑΙΓΑΙΟΥ</v>
      </c>
      <c r="M228" t="str">
        <f t="shared" si="24"/>
        <v>ΝΟΤΙΟΥ ΑΙΓΑΙΟΥ - ΣΥΡΟΥ – ΕΡΜΟΥΠΟΛΗΣ</v>
      </c>
      <c r="N228" s="201">
        <f t="shared" si="26"/>
        <v>14488</v>
      </c>
      <c r="O228" s="201" t="str">
        <f t="shared" si="27"/>
        <v>Σύρου - Ερμούπολης</v>
      </c>
    </row>
    <row r="229" spans="1:15" x14ac:dyDescent="0.3">
      <c r="A229" s="203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201" t="s">
        <v>807</v>
      </c>
      <c r="G229" s="201">
        <v>14186</v>
      </c>
      <c r="H229" t="str">
        <f>_xlfn.IFNA(INDEX(DimosNaiOxi,MATCH(ΤΚ!E229,DimosNai,0)),"")</f>
        <v>ΝΑΙ</v>
      </c>
      <c r="I229" t="str">
        <f>LOOKUP(B229,ΠΕΡΙΦΕΡΕΙΑ!$A$2:$A$14,ΠΕΡΙΦΕΡΕΙΑ!$B$2:$B$14)</f>
        <v>Μερική</v>
      </c>
      <c r="J229">
        <f t="shared" si="25"/>
        <v>228</v>
      </c>
      <c r="K229" s="203">
        <f t="shared" si="22"/>
        <v>272</v>
      </c>
      <c r="L229" t="str">
        <f t="shared" si="23"/>
        <v>ΝΟΤΙΟΥ ΑΙΓΑΙΟΥ</v>
      </c>
      <c r="M229" t="str">
        <f t="shared" si="24"/>
        <v>ΝΟΤΙΟΥ ΑΙΓΑΙΟΥ - ΤΗΝΟΥ</v>
      </c>
      <c r="N229" s="201">
        <f t="shared" si="26"/>
        <v>14498</v>
      </c>
      <c r="O229" s="201" t="str">
        <f t="shared" si="27"/>
        <v>Τήνου</v>
      </c>
    </row>
    <row r="230" spans="1:15" x14ac:dyDescent="0.3">
      <c r="A230" s="203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201" t="s">
        <v>808</v>
      </c>
      <c r="G230" s="201">
        <v>14216</v>
      </c>
      <c r="H230" t="str">
        <f>_xlfn.IFNA(INDEX(DimosNaiOxi,MATCH(ΤΚ!E230,DimosNai,0)),"")</f>
        <v>ΝΑΙ</v>
      </c>
      <c r="I230" t="str">
        <f>LOOKUP(B230,ΠΕΡΙΦΕΡΕΙΑ!$A$2:$A$14,ΠΕΡΙΦΕΡΕΙΑ!$B$2:$B$14)</f>
        <v>Μερική</v>
      </c>
      <c r="J230">
        <f t="shared" si="25"/>
        <v>229</v>
      </c>
      <c r="K230" s="203">
        <f t="shared" si="22"/>
        <v>275</v>
      </c>
      <c r="L230" t="str">
        <f t="shared" si="23"/>
        <v>ΠΕΛΟΠΟΝΝΗΣΟΥ</v>
      </c>
      <c r="M230" t="str">
        <f t="shared" si="24"/>
        <v>ΠΕΛΟΠΟΝΝΗΣΟΥ - ΑΝΑΤΟΛΙΚΗΣ ΜΑΝΗΣ</v>
      </c>
      <c r="N230" s="201">
        <f t="shared" si="26"/>
        <v>13980</v>
      </c>
      <c r="O230" s="201" t="str">
        <f t="shared" si="27"/>
        <v>Ανατολικής Μάνης</v>
      </c>
    </row>
    <row r="231" spans="1:15" x14ac:dyDescent="0.3">
      <c r="A231" s="203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201" t="s">
        <v>809</v>
      </c>
      <c r="G231" s="201">
        <v>14264</v>
      </c>
      <c r="H231" t="str">
        <f>_xlfn.IFNA(INDEX(DimosNaiOxi,MATCH(ΤΚ!E231,DimosNai,0)),"")</f>
        <v>ΝΑΙ</v>
      </c>
      <c r="I231" t="str">
        <f>LOOKUP(B231,ΠΕΡΙΦΕΡΕΙΑ!$A$2:$A$14,ΠΕΡΙΦΕΡΕΙΑ!$B$2:$B$14)</f>
        <v>Μερική</v>
      </c>
      <c r="J231">
        <f t="shared" si="25"/>
        <v>230</v>
      </c>
      <c r="K231" s="203">
        <f t="shared" si="22"/>
        <v>276</v>
      </c>
      <c r="L231" t="str">
        <f t="shared" si="23"/>
        <v>ΠΕΛΟΠΟΝΝΗΣΟΥ</v>
      </c>
      <c r="M231" t="str">
        <f t="shared" si="24"/>
        <v>ΠΕΛΟΠΟΝΝΗΣΟΥ - ΑΡΓΟΥΣ – ΜΥΚΗΝΩΝ</v>
      </c>
      <c r="N231" s="201">
        <f t="shared" si="26"/>
        <v>13994</v>
      </c>
      <c r="O231" s="201" t="str">
        <f t="shared" si="27"/>
        <v>Άργους - Μυκηνών</v>
      </c>
    </row>
    <row r="232" spans="1:15" x14ac:dyDescent="0.3">
      <c r="A232" s="203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201" t="s">
        <v>810</v>
      </c>
      <c r="G232" s="201">
        <v>14298</v>
      </c>
      <c r="H232" t="str">
        <f>_xlfn.IFNA(INDEX(DimosNaiOxi,MATCH(ΤΚ!E232,DimosNai,0)),"")</f>
        <v>ΝΑΙ</v>
      </c>
      <c r="I232" t="str">
        <f>LOOKUP(B232,ΠΕΡΙΦΕΡΕΙΑ!$A$2:$A$14,ΠΕΡΙΦΕΡΕΙΑ!$B$2:$B$14)</f>
        <v>Μερική</v>
      </c>
      <c r="J232">
        <f t="shared" si="25"/>
        <v>231</v>
      </c>
      <c r="K232" s="203">
        <f t="shared" si="22"/>
        <v>277</v>
      </c>
      <c r="L232" t="str">
        <f t="shared" si="23"/>
        <v>ΠΕΛΟΠΟΝΝΗΣΟΥ</v>
      </c>
      <c r="M232" t="str">
        <f t="shared" si="24"/>
        <v>ΠΕΛΟΠΟΝΝΗΣΟΥ - ΒΕΛΟΥ – ΒΟΧΑΣ</v>
      </c>
      <c r="N232" s="201">
        <f t="shared" si="26"/>
        <v>14012</v>
      </c>
      <c r="O232" s="201" t="str">
        <f t="shared" si="27"/>
        <v>Βέλου - Βόχας</v>
      </c>
    </row>
    <row r="233" spans="1:15" x14ac:dyDescent="0.3">
      <c r="A233" s="203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201" t="s">
        <v>811</v>
      </c>
      <c r="G233" s="201">
        <v>14270</v>
      </c>
      <c r="H233" t="str">
        <f>_xlfn.IFNA(INDEX(DimosNaiOxi,MATCH(ΤΚ!E233,DimosNai,0)),"")</f>
        <v>ΝΑΙ</v>
      </c>
      <c r="I233" t="str">
        <f>LOOKUP(B233,ΠΕΡΙΦΕΡΕΙΑ!$A$2:$A$14,ΠΕΡΙΦΕΡΕΙΑ!$B$2:$B$14)</f>
        <v>Μερική</v>
      </c>
      <c r="J233">
        <f t="shared" si="25"/>
        <v>232</v>
      </c>
      <c r="K233" s="203">
        <f t="shared" si="22"/>
        <v>278</v>
      </c>
      <c r="L233" t="str">
        <f t="shared" si="23"/>
        <v>ΠΕΛΟΠΟΝΝΗΣΟΥ</v>
      </c>
      <c r="M233" t="str">
        <f t="shared" si="24"/>
        <v>ΠΕΛΟΠΟΝΝΗΣΟΥ - ΒΟΡΕΙΑΣ ΚΥΝΟΥΡΙΑΣ</v>
      </c>
      <c r="N233" s="201">
        <f t="shared" si="26"/>
        <v>14020</v>
      </c>
      <c r="O233" s="201" t="str">
        <f t="shared" si="27"/>
        <v>Βόρειας Κυνουρίας</v>
      </c>
    </row>
    <row r="234" spans="1:15" x14ac:dyDescent="0.3">
      <c r="A234" s="203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201" t="s">
        <v>812</v>
      </c>
      <c r="G234" s="201">
        <v>14358</v>
      </c>
      <c r="H234" t="str">
        <f>_xlfn.IFNA(INDEX(DimosNaiOxi,MATCH(ΤΚ!E234,DimosNai,0)),"")</f>
        <v>ΝΑΙ</v>
      </c>
      <c r="I234" t="str">
        <f>LOOKUP(B234,ΠΕΡΙΦΕΡΕΙΑ!$A$2:$A$14,ΠΕΡΙΦΕΡΕΙΑ!$B$2:$B$14)</f>
        <v>Μερική</v>
      </c>
      <c r="J234">
        <f t="shared" si="25"/>
        <v>233</v>
      </c>
      <c r="K234" s="203">
        <f t="shared" si="22"/>
        <v>279</v>
      </c>
      <c r="L234" t="str">
        <f t="shared" si="23"/>
        <v>ΠΕΛΟΠΟΝΝΗΣΟΥ</v>
      </c>
      <c r="M234" t="str">
        <f t="shared" si="24"/>
        <v>ΠΕΛΟΠΟΝΝΗΣΟΥ - ΓΟΡΤΥΝΙΑΣ</v>
      </c>
      <c r="N234" s="201">
        <f t="shared" si="26"/>
        <v>14046</v>
      </c>
      <c r="O234" s="201" t="str">
        <f t="shared" si="27"/>
        <v>Γορτυνίας</v>
      </c>
    </row>
    <row r="235" spans="1:15" x14ac:dyDescent="0.3">
      <c r="A235" s="203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201" t="s">
        <v>813</v>
      </c>
      <c r="G235" s="201">
        <v>14412</v>
      </c>
      <c r="H235" t="str">
        <f>_xlfn.IFNA(INDEX(DimosNaiOxi,MATCH(ΤΚ!E235,DimosNai,0)),"")</f>
        <v>ΝΑΙ</v>
      </c>
      <c r="I235" t="str">
        <f>LOOKUP(B235,ΠΕΡΙΦΕΡΕΙΑ!$A$2:$A$14,ΠΕΡΙΦΕΡΕΙΑ!$B$2:$B$14)</f>
        <v>Μερική</v>
      </c>
      <c r="J235">
        <f t="shared" si="25"/>
        <v>234</v>
      </c>
      <c r="K235" s="203">
        <f t="shared" si="22"/>
        <v>280</v>
      </c>
      <c r="L235" t="str">
        <f t="shared" si="23"/>
        <v>ΠΕΛΟΠΟΝΝΗΣΟΥ</v>
      </c>
      <c r="M235" t="str">
        <f t="shared" si="24"/>
        <v>ΠΕΛΟΠΟΝΝΗΣΟΥ - ΔΥΤΙΚΗΣ ΜΑΝΗΣ</v>
      </c>
      <c r="N235" s="201">
        <f t="shared" si="26"/>
        <v>14074</v>
      </c>
      <c r="O235" s="201" t="str">
        <f t="shared" si="27"/>
        <v>Δυτικής Μάνης</v>
      </c>
    </row>
    <row r="236" spans="1:15" x14ac:dyDescent="0.3">
      <c r="A236" s="203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201" t="s">
        <v>814</v>
      </c>
      <c r="G236" s="201">
        <v>14428</v>
      </c>
      <c r="H236" t="str">
        <f>_xlfn.IFNA(INDEX(DimosNaiOxi,MATCH(ΤΚ!E236,DimosNai,0)),"")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203">
        <f t="shared" si="22"/>
        <v>282</v>
      </c>
      <c r="L236" t="str">
        <f t="shared" si="23"/>
        <v>ΠΕΛΟΠΟΝΝΗΣΟΥ</v>
      </c>
      <c r="M236" t="str">
        <f t="shared" si="24"/>
        <v>ΠΕΛΟΠΟΝΝΗΣΟΥ - ΕΠΙΔΑΥΡΟΥ</v>
      </c>
      <c r="N236" s="201">
        <f t="shared" si="26"/>
        <v>14092</v>
      </c>
      <c r="O236" s="201" t="str">
        <f t="shared" si="27"/>
        <v>Επιδαύρου</v>
      </c>
    </row>
    <row r="237" spans="1:15" x14ac:dyDescent="0.3">
      <c r="A237" s="203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201" t="s">
        <v>815</v>
      </c>
      <c r="G237" s="201">
        <v>14452</v>
      </c>
      <c r="H237" t="str">
        <f>_xlfn.IFNA(INDEX(DimosNaiOxi,MATCH(ΤΚ!E237,DimosNai,0)),"")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203">
        <f t="shared" si="22"/>
        <v>283</v>
      </c>
      <c r="L237" t="str">
        <f t="shared" si="23"/>
        <v>ΠΕΛΟΠΟΝΝΗΣΟΥ</v>
      </c>
      <c r="M237" t="str">
        <f t="shared" si="24"/>
        <v>ΠΕΛΟΠΟΝΝΗΣΟΥ - ΕΡΜΙΟΝΙΔΑΣ</v>
      </c>
      <c r="N237" s="201">
        <f t="shared" si="26"/>
        <v>14096</v>
      </c>
      <c r="O237" s="201" t="str">
        <f t="shared" si="27"/>
        <v>Ερμιονίδας</v>
      </c>
    </row>
    <row r="238" spans="1:15" x14ac:dyDescent="0.3">
      <c r="A238" s="203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201" t="s">
        <v>816</v>
      </c>
      <c r="G238" s="201">
        <v>14442</v>
      </c>
      <c r="H238" t="str">
        <f>_xlfn.IFNA(INDEX(DimosNaiOxi,MATCH(ΤΚ!E238,DimosNai,0)),"")</f>
        <v>ΝΑΙ</v>
      </c>
      <c r="I238" t="str">
        <f>LOOKUP(B238,ΠΕΡΙΦΕΡΕΙΑ!$A$2:$A$14,ΠΕΡΙΦΕΡΕΙΑ!$B$2:$B$14)</f>
        <v>Μερική</v>
      </c>
      <c r="J238">
        <f t="shared" si="25"/>
        <v>237</v>
      </c>
      <c r="K238" s="203">
        <f t="shared" si="22"/>
        <v>284</v>
      </c>
      <c r="L238" t="str">
        <f t="shared" si="23"/>
        <v>ΠΕΛΟΠΟΝΝΗΣΟΥ</v>
      </c>
      <c r="M238" t="str">
        <f t="shared" si="24"/>
        <v>ΠΕΛΟΠΟΝΝΗΣΟΥ - ΕΥΡΩΤΑ</v>
      </c>
      <c r="N238" s="201">
        <f t="shared" si="26"/>
        <v>14100</v>
      </c>
      <c r="O238" s="201" t="str">
        <f t="shared" si="27"/>
        <v>Ευρώτα</v>
      </c>
    </row>
    <row r="239" spans="1:15" x14ac:dyDescent="0.3">
      <c r="A239" s="203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201" t="s">
        <v>817</v>
      </c>
      <c r="G239" s="201">
        <v>14510</v>
      </c>
      <c r="H239" t="str">
        <f>_xlfn.IFNA(INDEX(DimosNaiOxi,MATCH(ΤΚ!E239,DimosNai,0)),"")</f>
        <v>ΝΑΙ</v>
      </c>
      <c r="I239" t="str">
        <f>LOOKUP(B239,ΠΕΡΙΦΕΡΕΙΑ!$A$2:$A$14,ΠΕΡΙΦΕΡΕΙΑ!$B$2:$B$14)</f>
        <v>Μερική</v>
      </c>
      <c r="J239">
        <f t="shared" si="25"/>
        <v>238</v>
      </c>
      <c r="K239" s="203">
        <f t="shared" si="22"/>
        <v>285</v>
      </c>
      <c r="L239" t="str">
        <f t="shared" si="23"/>
        <v>ΠΕΛΟΠΟΝΝΗΣΟΥ</v>
      </c>
      <c r="M239" t="str">
        <f t="shared" si="24"/>
        <v>ΠΕΛΟΠΟΝΝΗΣΟΥ - ΚΑΛΑΜΑΤΑΣ</v>
      </c>
      <c r="N239" s="201">
        <f t="shared" si="26"/>
        <v>14178</v>
      </c>
      <c r="O239" s="201" t="str">
        <f t="shared" si="27"/>
        <v>Καλαμάτας</v>
      </c>
    </row>
    <row r="240" spans="1:15" x14ac:dyDescent="0.3">
      <c r="A240" s="203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201" t="s">
        <v>818</v>
      </c>
      <c r="G240" s="201">
        <v>14532</v>
      </c>
      <c r="H240" t="str">
        <f>_xlfn.IFNA(INDEX(DimosNaiOxi,MATCH(ΤΚ!E240,DimosNai,0)),"")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203">
        <f t="shared" si="22"/>
        <v>286</v>
      </c>
      <c r="L240" t="str">
        <f t="shared" si="23"/>
        <v>ΠΕΛΟΠΟΝΝΗΣΟΥ</v>
      </c>
      <c r="M240" t="str">
        <f t="shared" si="24"/>
        <v>ΠΕΛΟΠΟΝΝΗΣΟΥ - ΚΟΡΙΝΘΙΩΝ</v>
      </c>
      <c r="N240" s="201">
        <f t="shared" si="26"/>
        <v>14168</v>
      </c>
      <c r="O240" s="201" t="str">
        <f t="shared" si="27"/>
        <v>Κορινθίων</v>
      </c>
    </row>
    <row r="241" spans="1:15" x14ac:dyDescent="0.3">
      <c r="A241" s="203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201" t="s">
        <v>819</v>
      </c>
      <c r="G241" s="201">
        <v>14540</v>
      </c>
      <c r="H241" t="str">
        <f>_xlfn.IFNA(INDEX(DimosNaiOxi,MATCH(ΤΚ!E241,DimosNai,0)),"")</f>
        <v>ΝΑΙ</v>
      </c>
      <c r="I241" t="str">
        <f>LOOKUP(B241,ΠΕΡΙΦΕΡΕΙΑ!$A$2:$A$14,ΠΕΡΙΦΕΡΕΙΑ!$B$2:$B$14)</f>
        <v>Μερική</v>
      </c>
      <c r="J241">
        <f t="shared" si="25"/>
        <v>240</v>
      </c>
      <c r="K241" s="203">
        <f t="shared" si="22"/>
        <v>287</v>
      </c>
      <c r="L241" t="str">
        <f t="shared" si="23"/>
        <v>ΠΕΛΟΠΟΝΝΗΣΟΥ</v>
      </c>
      <c r="M241" t="str">
        <f t="shared" si="24"/>
        <v>ΠΕΛΟΠΟΝΝΗΣΟΥ - ΛΟΥΤΡΑΚΙΟΥ – ΑΓΙΩΝ ΘΕΟΔΩΡΩΝ</v>
      </c>
      <c r="N241" s="201">
        <f t="shared" si="26"/>
        <v>14244</v>
      </c>
      <c r="O241" s="201" t="str">
        <f t="shared" si="27"/>
        <v>Λουτρακίου - Αγ. Θεοδώρων</v>
      </c>
    </row>
    <row r="242" spans="1:15" x14ac:dyDescent="0.3">
      <c r="A242" s="203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201" t="s">
        <v>820</v>
      </c>
      <c r="G242" s="201">
        <v>13936</v>
      </c>
      <c r="H242" t="str">
        <f>_xlfn.IFNA(INDEX(DimosNaiOxi,MATCH(ΤΚ!E242,DimosNai,0)),"")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203">
        <f t="shared" si="22"/>
        <v>288</v>
      </c>
      <c r="L242" t="str">
        <f t="shared" si="23"/>
        <v>ΠΕΛΟΠΟΝΝΗΣΟΥ</v>
      </c>
      <c r="M242" t="str">
        <f t="shared" si="24"/>
        <v>ΠΕΛΟΠΟΝΝΗΣΟΥ - ΜΕΓΑΛΟΠΟΛΗΣ</v>
      </c>
      <c r="N242" s="201">
        <f t="shared" si="26"/>
        <v>14282</v>
      </c>
      <c r="O242" s="201" t="str">
        <f t="shared" si="27"/>
        <v>Μεγαλόπολης</v>
      </c>
    </row>
    <row r="243" spans="1:15" x14ac:dyDescent="0.3">
      <c r="A243" s="203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201" t="s">
        <v>821</v>
      </c>
      <c r="G243" s="201">
        <v>13966</v>
      </c>
      <c r="H243" t="str">
        <f>_xlfn.IFNA(INDEX(DimosNaiOxi,MATCH(ΤΚ!E243,DimosNai,0)),"")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203">
        <f t="shared" si="22"/>
        <v>289</v>
      </c>
      <c r="L243" t="str">
        <f t="shared" si="23"/>
        <v>ΠΕΛΟΠΟΝΝΗΣΟΥ</v>
      </c>
      <c r="M243" t="str">
        <f t="shared" si="24"/>
        <v>ΠΕΛΟΠΟΝΝΗΣΟΥ - ΜΕΣΣΗΝΗΣ</v>
      </c>
      <c r="N243" s="201">
        <f t="shared" si="26"/>
        <v>14292</v>
      </c>
      <c r="O243" s="201" t="str">
        <f t="shared" si="27"/>
        <v>Μεσσήνης</v>
      </c>
    </row>
    <row r="244" spans="1:15" x14ac:dyDescent="0.3">
      <c r="A244" s="203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201" t="s">
        <v>822</v>
      </c>
      <c r="G244" s="201">
        <v>13978</v>
      </c>
      <c r="H244" t="str">
        <f>_xlfn.IFNA(INDEX(DimosNaiOxi,MATCH(ΤΚ!E244,DimosNai,0)),"")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203">
        <f t="shared" si="22"/>
        <v>290</v>
      </c>
      <c r="L244" t="str">
        <f t="shared" si="23"/>
        <v>ΠΕΛΟΠΟΝΝΗΣΟΥ</v>
      </c>
      <c r="M244" t="str">
        <f t="shared" si="24"/>
        <v>ΠΕΛΟΠΟΝΝΗΣΟΥ - ΜΟΝΕΜΒΑΣΙΑΣ</v>
      </c>
      <c r="N244" s="201">
        <f t="shared" si="26"/>
        <v>14268</v>
      </c>
      <c r="O244" s="201" t="str">
        <f t="shared" si="27"/>
        <v>Μονεμβασιάς</v>
      </c>
    </row>
    <row r="245" spans="1:15" x14ac:dyDescent="0.3">
      <c r="A245" s="203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201" t="s">
        <v>823</v>
      </c>
      <c r="G245" s="201">
        <v>13988</v>
      </c>
      <c r="H245" t="str">
        <f>_xlfn.IFNA(INDEX(DimosNaiOxi,MATCH(ΤΚ!E245,DimosNai,0)),"")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203">
        <f t="shared" si="22"/>
        <v>291</v>
      </c>
      <c r="L245" t="str">
        <f t="shared" si="23"/>
        <v>ΠΕΛΟΠΟΝΝΗΣΟΥ</v>
      </c>
      <c r="M245" t="str">
        <f t="shared" si="24"/>
        <v>ΠΕΛΟΠΟΝΝΗΣΟΥ - ΝΑΥΠΛΙΕΩΝ</v>
      </c>
      <c r="N245" s="201">
        <f t="shared" si="26"/>
        <v>14314</v>
      </c>
      <c r="O245" s="201" t="str">
        <f t="shared" si="27"/>
        <v>Ναυπλιέων</v>
      </c>
    </row>
    <row r="246" spans="1:15" x14ac:dyDescent="0.3">
      <c r="A246" s="203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201" t="s">
        <v>824</v>
      </c>
      <c r="G246" s="201">
        <v>13986</v>
      </c>
      <c r="H246" t="str">
        <f>_xlfn.IFNA(INDEX(DimosNaiOxi,MATCH(ΤΚ!E246,DimosNai,0)),"")</f>
        <v>ΝΑΙ</v>
      </c>
      <c r="I246" t="str">
        <f>LOOKUP(B246,ΠΕΡΙΦΕΡΕΙΑ!$A$2:$A$14,ΠΕΡΙΦΕΡΕΙΑ!$B$2:$B$14)</f>
        <v>Μερική</v>
      </c>
      <c r="J246">
        <f t="shared" si="25"/>
        <v>245</v>
      </c>
      <c r="K246" s="203">
        <f t="shared" si="22"/>
        <v>292</v>
      </c>
      <c r="L246" t="str">
        <f t="shared" si="23"/>
        <v>ΠΕΛΟΠΟΝΝΗΣΟΥ</v>
      </c>
      <c r="M246" t="str">
        <f t="shared" si="24"/>
        <v>ΠΕΛΟΠΟΝΝΗΣΟΥ - ΝΕΜΕΑΣ</v>
      </c>
      <c r="N246" s="201">
        <f t="shared" si="26"/>
        <v>14322</v>
      </c>
      <c r="O246" s="201" t="str">
        <f t="shared" si="27"/>
        <v>Νεμέας</v>
      </c>
    </row>
    <row r="247" spans="1:15" x14ac:dyDescent="0.3">
      <c r="A247" s="203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201" t="s">
        <v>825</v>
      </c>
      <c r="G247" s="201">
        <v>14006</v>
      </c>
      <c r="H247" t="str">
        <f>_xlfn.IFNA(INDEX(DimosNaiOxi,MATCH(ΤΚ!E247,DimosNai,0)),"")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203">
        <f t="shared" si="22"/>
        <v>293</v>
      </c>
      <c r="L247" t="str">
        <f t="shared" si="23"/>
        <v>ΠΕΛΟΠΟΝΝΗΣΟΥ</v>
      </c>
      <c r="M247" t="str">
        <f t="shared" si="24"/>
        <v>ΠΕΛΟΠΟΝΝΗΣΟΥ - ΝΟΤΙΑΣ ΚΥΝΟΥΡΙΑΣ</v>
      </c>
      <c r="N247" s="201">
        <f t="shared" si="26"/>
        <v>14340</v>
      </c>
      <c r="O247" s="201" t="str">
        <f t="shared" si="27"/>
        <v>Νότιας Κυνουρίας</v>
      </c>
    </row>
    <row r="248" spans="1:15" x14ac:dyDescent="0.3">
      <c r="A248" s="203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201" t="s">
        <v>826</v>
      </c>
      <c r="G248" s="201">
        <v>14138</v>
      </c>
      <c r="H248" t="str">
        <f>_xlfn.IFNA(INDEX(DimosNaiOxi,MATCH(ΤΚ!E248,DimosNai,0)),"")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203">
        <f t="shared" si="22"/>
        <v>294</v>
      </c>
      <c r="L248" t="str">
        <f t="shared" si="23"/>
        <v>ΠΕΛΟΠΟΝΝΗΣΟΥ</v>
      </c>
      <c r="M248" t="str">
        <f t="shared" si="24"/>
        <v>ΠΕΛΟΠΟΝΝΗΣΟΥ - ΞΥΛΟΚΑΣΤΡΟΥ – ΕΥΡΩΣΤΙΝΗΣ</v>
      </c>
      <c r="N248" s="201">
        <f t="shared" si="26"/>
        <v>14346</v>
      </c>
      <c r="O248" s="201" t="str">
        <f t="shared" si="27"/>
        <v>Ξυλοκάστρου - Ευρωστίνης</v>
      </c>
    </row>
    <row r="249" spans="1:15" x14ac:dyDescent="0.3">
      <c r="A249" s="203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201" t="s">
        <v>827</v>
      </c>
      <c r="G249" s="201">
        <v>14144</v>
      </c>
      <c r="H249" t="str">
        <f>_xlfn.IFNA(INDEX(DimosNaiOxi,MATCH(ΤΚ!E249,DimosNai,0)),"")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203">
        <f t="shared" si="22"/>
        <v>295</v>
      </c>
      <c r="L249" t="str">
        <f t="shared" si="23"/>
        <v>ΠΕΛΟΠΟΝΝΗΣΟΥ</v>
      </c>
      <c r="M249" t="str">
        <f t="shared" si="24"/>
        <v>ΠΕΛΟΠΟΝΝΗΣΟΥ - ΟΙΧΑΛΙΑΣ</v>
      </c>
      <c r="N249" s="201">
        <f t="shared" si="26"/>
        <v>14350</v>
      </c>
      <c r="O249" s="201" t="str">
        <f t="shared" si="27"/>
        <v>Οιχαλίας</v>
      </c>
    </row>
    <row r="250" spans="1:15" x14ac:dyDescent="0.3">
      <c r="A250" s="203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201" t="s">
        <v>828</v>
      </c>
      <c r="G250" s="201">
        <v>14184</v>
      </c>
      <c r="H250" t="str">
        <f>_xlfn.IFNA(INDEX(DimosNaiOxi,MATCH(ΤΚ!E250,DimosNai,0)),"")</f>
        <v/>
      </c>
      <c r="I250" t="str">
        <f>LOOKUP(B250,ΠΕΡΙΦΕΡΕΙΑ!$A$2:$A$14,ΠΕΡΙΦΕΡΕΙΑ!$B$2:$B$14)</f>
        <v>Μερική</v>
      </c>
      <c r="J250" t="str">
        <f t="shared" si="25"/>
        <v/>
      </c>
      <c r="K250" s="203">
        <f t="shared" si="22"/>
        <v>296</v>
      </c>
      <c r="L250" t="str">
        <f t="shared" si="23"/>
        <v>ΠΕΛΟΠΟΝΝΗΣΟΥ</v>
      </c>
      <c r="M250" t="str">
        <f t="shared" si="24"/>
        <v>ΠΕΛΟΠΟΝΝΗΣΟΥ - ΠΥΛΟΥ – ΝΕΣΤΟΡΟΣ</v>
      </c>
      <c r="N250" s="201">
        <f t="shared" si="26"/>
        <v>14426</v>
      </c>
      <c r="O250" s="201" t="str">
        <f t="shared" si="27"/>
        <v>Πύλου - Νέστορος</v>
      </c>
    </row>
    <row r="251" spans="1:15" x14ac:dyDescent="0.3">
      <c r="A251" s="203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201" t="s">
        <v>829</v>
      </c>
      <c r="G251" s="201">
        <v>14190</v>
      </c>
      <c r="H251" t="str">
        <f>_xlfn.IFNA(INDEX(DimosNaiOxi,MATCH(ΤΚ!E251,DimosNai,0)),"")</f>
        <v/>
      </c>
      <c r="I251" t="str">
        <f>LOOKUP(B251,ΠΕΡΙΦΕΡΕΙΑ!$A$2:$A$14,ΠΕΡΙΦΕΡΕΙΑ!$B$2:$B$14)</f>
        <v>Μερική</v>
      </c>
      <c r="J251" t="str">
        <f t="shared" si="25"/>
        <v/>
      </c>
      <c r="K251" s="203">
        <f t="shared" si="22"/>
        <v>297</v>
      </c>
      <c r="L251" t="str">
        <f t="shared" si="23"/>
        <v>ΠΕΛΟΠΟΝΝΗΣΟΥ</v>
      </c>
      <c r="M251" t="str">
        <f t="shared" si="24"/>
        <v>ΠΕΛΟΠΟΝΝΗΣΟΥ - ΣΙΚΥΩΝΙΩΝ</v>
      </c>
      <c r="N251" s="201">
        <f t="shared" si="26"/>
        <v>14460</v>
      </c>
      <c r="O251" s="201" t="str">
        <f t="shared" si="27"/>
        <v>Σικυωνίων</v>
      </c>
    </row>
    <row r="252" spans="1:15" x14ac:dyDescent="0.3">
      <c r="A252" s="203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201" t="s">
        <v>830</v>
      </c>
      <c r="G252" s="201">
        <v>14198</v>
      </c>
      <c r="H252" t="str">
        <f>_xlfn.IFNA(INDEX(DimosNaiOxi,MATCH(ΤΚ!E252,DimosNai,0)),"")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203">
        <f t="shared" si="22"/>
        <v>298</v>
      </c>
      <c r="L252" t="str">
        <f t="shared" si="23"/>
        <v>ΠΕΛΟΠΟΝΝΗΣΟΥ</v>
      </c>
      <c r="M252" t="str">
        <f t="shared" si="24"/>
        <v>ΠΕΛΟΠΟΝΝΗΣΟΥ - ΣΠΑΡΤΗΣ</v>
      </c>
      <c r="N252" s="201">
        <f t="shared" si="26"/>
        <v>14478</v>
      </c>
      <c r="O252" s="201" t="str">
        <f t="shared" si="27"/>
        <v>Σπάρτης</v>
      </c>
    </row>
    <row r="253" spans="1:15" x14ac:dyDescent="0.3">
      <c r="A253" s="203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201" t="s">
        <v>831</v>
      </c>
      <c r="G253" s="201">
        <v>14204</v>
      </c>
      <c r="H253" t="str">
        <f>_xlfn.IFNA(INDEX(DimosNaiOxi,MATCH(ΤΚ!E253,DimosNai,0)),"")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203">
        <f t="shared" si="22"/>
        <v>299</v>
      </c>
      <c r="L253" t="str">
        <f t="shared" si="23"/>
        <v>ΠΕΛΟΠΟΝΝΗΣΟΥ</v>
      </c>
      <c r="M253" t="str">
        <f t="shared" si="24"/>
        <v>ΠΕΛΟΠΟΝΝΗΣΟΥ - ΤΡΙΠΟΛΗΣ</v>
      </c>
      <c r="N253" s="201">
        <f t="shared" si="26"/>
        <v>14500</v>
      </c>
      <c r="O253" s="201" t="str">
        <f t="shared" si="27"/>
        <v>Τρίπολης</v>
      </c>
    </row>
    <row r="254" spans="1:15" x14ac:dyDescent="0.3">
      <c r="A254" s="203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201" t="s">
        <v>832</v>
      </c>
      <c r="G254" s="201">
        <v>14214</v>
      </c>
      <c r="H254" t="str">
        <f>_xlfn.IFNA(INDEX(DimosNaiOxi,MATCH(ΤΚ!E254,DimosNai,0)),"")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203">
        <f t="shared" si="22"/>
        <v>300</v>
      </c>
      <c r="L254" t="str">
        <f t="shared" si="23"/>
        <v>ΠΕΛΟΠΟΝΝΗΣΟΥ</v>
      </c>
      <c r="M254" t="str">
        <f t="shared" si="24"/>
        <v>ΠΕΛΟΠΟΝΝΗΣΟΥ - ΤΡΙΦΥΛΙΑΣ</v>
      </c>
      <c r="N254" s="201">
        <f t="shared" si="26"/>
        <v>14504</v>
      </c>
      <c r="O254" s="201" t="str">
        <f t="shared" si="27"/>
        <v>Τριφυλίας</v>
      </c>
    </row>
    <row r="255" spans="1:15" x14ac:dyDescent="0.3">
      <c r="A255" s="203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201" t="s">
        <v>833</v>
      </c>
      <c r="G255" s="201">
        <v>14232</v>
      </c>
      <c r="H255" t="str">
        <f>_xlfn.IFNA(INDEX(DimosNaiOxi,MATCH(ΤΚ!E255,DimosNai,0)),"")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203">
        <f t="shared" si="22"/>
        <v>301</v>
      </c>
      <c r="L255" t="str">
        <f t="shared" si="23"/>
        <v>ΣΤΕΡΕΑΣ ΕΛΛΑΔΑΣ</v>
      </c>
      <c r="M255" t="str">
        <f t="shared" si="24"/>
        <v>ΣΤΕΡΕΑΣ ΕΛΛΑΔΑΣ - ΑΓΡΑΦΩΝ</v>
      </c>
      <c r="N255" s="201">
        <f t="shared" si="26"/>
        <v>13940</v>
      </c>
      <c r="O255" s="201" t="str">
        <f t="shared" si="27"/>
        <v>Αγράφων</v>
      </c>
    </row>
    <row r="256" spans="1:15" x14ac:dyDescent="0.3">
      <c r="A256" s="203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201" t="s">
        <v>834</v>
      </c>
      <c r="G256" s="201">
        <v>14170</v>
      </c>
      <c r="H256" t="str">
        <f>_xlfn.IFNA(INDEX(DimosNaiOxi,MATCH(ΤΚ!E256,DimosNai,0)),"")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203">
        <f t="shared" si="22"/>
        <v>303</v>
      </c>
      <c r="L256" t="str">
        <f t="shared" si="23"/>
        <v>ΣΤΕΡΕΑΣ ΕΛΛΑΔΑΣ</v>
      </c>
      <c r="M256" t="str">
        <f t="shared" si="24"/>
        <v>ΣΤΕΡΕΑΣ ΕΛΛΑΔΑΣ - ΑΜΦΙΚΛΕΙΑΣ – ΕΛΑΤΕΙΑΣ</v>
      </c>
      <c r="N256" s="201">
        <f t="shared" si="26"/>
        <v>13972</v>
      </c>
      <c r="O256" s="201" t="str">
        <f t="shared" si="27"/>
        <v>Αμφίκλειας - Ελάτειας</v>
      </c>
    </row>
    <row r="257" spans="1:15" x14ac:dyDescent="0.3">
      <c r="A257" s="203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201" t="s">
        <v>835</v>
      </c>
      <c r="G257" s="201">
        <v>14252</v>
      </c>
      <c r="H257" t="str">
        <f>_xlfn.IFNA(INDEX(DimosNaiOxi,MATCH(ΤΚ!E257,DimosNai,0)),"")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203">
        <f t="shared" si="22"/>
        <v>304</v>
      </c>
      <c r="L257" t="str">
        <f t="shared" si="23"/>
        <v>ΣΤΕΡΕΑΣ ΕΛΛΑΔΑΣ</v>
      </c>
      <c r="M257" t="str">
        <f t="shared" si="24"/>
        <v>ΣΤΕΡΕΑΣ ΕΛΛΑΔΑΣ - ΔΕΛΦΩΝ</v>
      </c>
      <c r="N257" s="201">
        <f t="shared" si="26"/>
        <v>14052</v>
      </c>
      <c r="O257" s="201" t="str">
        <f t="shared" si="27"/>
        <v>Δελφών</v>
      </c>
    </row>
    <row r="258" spans="1:15" x14ac:dyDescent="0.3">
      <c r="A258" s="203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201" t="s">
        <v>836</v>
      </c>
      <c r="G258" s="201">
        <v>14254</v>
      </c>
      <c r="H258" t="str">
        <f>_xlfn.IFNA(INDEX(DimosNaiOxi,MATCH(ΤΚ!E258,DimosNai,0)),"")</f>
        <v/>
      </c>
      <c r="I258" t="str">
        <f>LOOKUP(B258,ΠΕΡΙΦΕΡΕΙΑ!$A$2:$A$14,ΠΕΡΙΦΕΡΕΙΑ!$B$2:$B$14)</f>
        <v>Μερική</v>
      </c>
      <c r="J258" t="str">
        <f t="shared" si="25"/>
        <v/>
      </c>
      <c r="K258" s="203">
        <f t="shared" ref="K258:K321" si="29">SMALL(J:J,A258)</f>
        <v>305</v>
      </c>
      <c r="L258" t="str">
        <f t="shared" ref="L258:L321" si="30">IF(ISNUMBER(K258),LOOKUP(K258,A:A,B:B),"")</f>
        <v>ΣΤΕΡΕΑΣ ΕΛΛΑΔΑΣ</v>
      </c>
      <c r="M258" t="str">
        <f t="shared" ref="M258:M326" si="31">IF(ISNUMBER(K258),LOOKUP(K258,A:A,B:B)&amp;" - "&amp;LOOKUP(K258,A:A,D:D),"")</f>
        <v>ΣΤΕΡΕΑΣ ΕΛΛΑΔΑΣ - ΔΙΡΦΥΩΝ – ΜΕΣΣΑΠΙΩΝ</v>
      </c>
      <c r="N258" s="201">
        <f t="shared" si="26"/>
        <v>14064</v>
      </c>
      <c r="O258" s="201" t="str">
        <f t="shared" si="27"/>
        <v>Διρφύων - Μεσσαπίων</v>
      </c>
    </row>
    <row r="259" spans="1:15" x14ac:dyDescent="0.3">
      <c r="A259" s="203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201" t="s">
        <v>837</v>
      </c>
      <c r="G259" s="201">
        <v>14290</v>
      </c>
      <c r="H259" t="str">
        <f>_xlfn.IFNA(INDEX(DimosNaiOxi,MATCH(ΤΚ!E259,DimosNai,0)),"")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203">
        <f t="shared" si="29"/>
        <v>306</v>
      </c>
      <c r="L259" t="str">
        <f t="shared" si="30"/>
        <v>ΣΤΕΡΕΑΣ ΕΛΛΑΔΑΣ</v>
      </c>
      <c r="M259" t="str">
        <f t="shared" si="31"/>
        <v>ΣΤΕΡΕΑΣ ΕΛΛΑΔΑΣ - ΔΙΣΤΟΜΟΥ – ΑΡΑΧΟΒΑΣ – ΑΝΤΙΚΥΡΑΣ</v>
      </c>
      <c r="N259" s="201">
        <f t="shared" ref="N259:N322" si="33">IF(ISNUMBER(K259),LOOKUP(K259,A:A,G:G),"")</f>
        <v>14056</v>
      </c>
      <c r="O259" s="201" t="str">
        <f t="shared" ref="O259:O322" si="34">IF(ISNUMBER(K259),LOOKUP(K259,A:A,F:F),"")</f>
        <v>Διστόμου-Αράχοβας - Αντίκυρας</v>
      </c>
    </row>
    <row r="260" spans="1:15" x14ac:dyDescent="0.3">
      <c r="A260" s="203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201" t="s">
        <v>838</v>
      </c>
      <c r="G260" s="201">
        <v>14296</v>
      </c>
      <c r="H260" t="str">
        <f>_xlfn.IFNA(INDEX(DimosNaiOxi,MATCH(ΤΚ!E260,DimosNai,0)),"")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203">
        <f t="shared" si="29"/>
        <v>307</v>
      </c>
      <c r="L260" t="str">
        <f t="shared" si="30"/>
        <v>ΣΤΕΡΕΑΣ ΕΛΛΑΔΑΣ</v>
      </c>
      <c r="M260" t="str">
        <f t="shared" si="31"/>
        <v>ΣΤΕΡΕΑΣ ΕΛΛΑΔΑΣ - ΔΟΜΟΚΟΥ</v>
      </c>
      <c r="N260" s="201">
        <f t="shared" si="33"/>
        <v>14066</v>
      </c>
      <c r="O260" s="201" t="str">
        <f t="shared" si="34"/>
        <v>Δομοκού</v>
      </c>
    </row>
    <row r="261" spans="1:15" x14ac:dyDescent="0.3">
      <c r="A261" s="203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201" t="s">
        <v>839</v>
      </c>
      <c r="G261" s="201">
        <v>14306</v>
      </c>
      <c r="H261" t="str">
        <f>_xlfn.IFNA(INDEX(DimosNaiOxi,MATCH(ΤΚ!E261,DimosNai,0)),"")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203">
        <f t="shared" si="29"/>
        <v>308</v>
      </c>
      <c r="L261" t="str">
        <f t="shared" si="30"/>
        <v>ΣΤΕΡΕΑΣ ΕΛΛΑΔΑΣ</v>
      </c>
      <c r="M261" t="str">
        <f t="shared" si="31"/>
        <v>ΣΤΕΡΕΑΣ ΕΛΛΑΔΑΣ - ΔΩΡΙΔΟΣ</v>
      </c>
      <c r="N261" s="201">
        <f t="shared" si="33"/>
        <v>14078</v>
      </c>
      <c r="O261" s="201" t="str">
        <f t="shared" si="34"/>
        <v>Δωρίδος</v>
      </c>
    </row>
    <row r="262" spans="1:15" x14ac:dyDescent="0.3">
      <c r="A262" s="203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201" t="s">
        <v>840</v>
      </c>
      <c r="G262" s="201">
        <v>14310</v>
      </c>
      <c r="H262" t="str">
        <f>_xlfn.IFNA(INDEX(DimosNaiOxi,MATCH(ΤΚ!E262,DimosNai,0)),"")</f>
        <v>ΝΑΙ</v>
      </c>
      <c r="I262" t="str">
        <f>LOOKUP(B262,ΠΕΡΙΦΕΡΕΙΑ!$A$2:$A$14,ΠΕΡΙΦΕΡΕΙΑ!$B$2:$B$14)</f>
        <v>Μερική</v>
      </c>
      <c r="J262">
        <f t="shared" si="32"/>
        <v>261</v>
      </c>
      <c r="K262" s="203">
        <f t="shared" si="29"/>
        <v>309</v>
      </c>
      <c r="L262" t="str">
        <f t="shared" si="30"/>
        <v>ΣΤΕΡΕΑΣ ΕΛΛΑΔΑΣ</v>
      </c>
      <c r="M262" t="str">
        <f t="shared" si="31"/>
        <v>ΣΤΕΡΕΑΣ ΕΛΛΑΔΑΣ - ΕΡΕΤΡΙΑΣ</v>
      </c>
      <c r="N262" s="201">
        <f t="shared" si="33"/>
        <v>14094</v>
      </c>
      <c r="O262" s="201" t="str">
        <f t="shared" si="34"/>
        <v>Ερέτριας</v>
      </c>
    </row>
    <row r="263" spans="1:15" x14ac:dyDescent="0.3">
      <c r="A263" s="203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201" t="s">
        <v>841</v>
      </c>
      <c r="G263" s="201">
        <v>14328</v>
      </c>
      <c r="H263" t="str">
        <f>_xlfn.IFNA(INDEX(DimosNaiOxi,MATCH(ΤΚ!E263,DimosNai,0)),"")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203">
        <f t="shared" si="29"/>
        <v>310</v>
      </c>
      <c r="L263" t="str">
        <f t="shared" si="30"/>
        <v>ΣΤΕΡΕΑΣ ΕΛΛΑΔΑΣ</v>
      </c>
      <c r="M263" t="str">
        <f t="shared" si="31"/>
        <v>ΣΤΕΡΕΑΣ ΕΛΛΑΔΑΣ - ΘΗΒΑΙΩΝ</v>
      </c>
      <c r="N263" s="201">
        <f t="shared" si="33"/>
        <v>14132</v>
      </c>
      <c r="O263" s="201" t="str">
        <f t="shared" si="34"/>
        <v>Θηβαίων</v>
      </c>
    </row>
    <row r="264" spans="1:15" x14ac:dyDescent="0.3">
      <c r="A264" s="203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201" t="s">
        <v>842</v>
      </c>
      <c r="G264" s="201">
        <v>14400</v>
      </c>
      <c r="H264" t="str">
        <f>_xlfn.IFNA(INDEX(DimosNaiOxi,MATCH(ΤΚ!E264,DimosNai,0)),"")</f>
        <v>ΝΑΙ</v>
      </c>
      <c r="I264" t="str">
        <f>LOOKUP(B264,ΠΕΡΙΦΕΡΕΙΑ!$A$2:$A$14,ΠΕΡΙΦΕΡΕΙΑ!$B$2:$B$14)</f>
        <v>Μερική</v>
      </c>
      <c r="J264">
        <f t="shared" si="32"/>
        <v>263</v>
      </c>
      <c r="K264" s="203">
        <f t="shared" si="29"/>
        <v>311</v>
      </c>
      <c r="L264" t="str">
        <f t="shared" si="30"/>
        <v>ΣΤΕΡΕΑΣ ΕΛΛΑΔΑΣ</v>
      </c>
      <c r="M264" t="str">
        <f t="shared" si="31"/>
        <v>ΣΤΕΡΕΑΣ ΕΛΛΑΔΑΣ - ΙΣΤΙΑΙΑΣ – ΑΙΔΗΨΟΥ</v>
      </c>
      <c r="N264" s="201">
        <f t="shared" si="33"/>
        <v>14152</v>
      </c>
      <c r="O264" s="201" t="str">
        <f t="shared" si="34"/>
        <v>Ιστιαίας - Αιδηψού</v>
      </c>
    </row>
    <row r="265" spans="1:15" x14ac:dyDescent="0.3">
      <c r="A265" s="203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201" t="s">
        <v>843</v>
      </c>
      <c r="G265" s="201">
        <v>14364</v>
      </c>
      <c r="H265" t="str">
        <f>_xlfn.IFNA(INDEX(DimosNaiOxi,MATCH(ΤΚ!E265,DimosNai,0)),"")</f>
        <v/>
      </c>
      <c r="I265" t="str">
        <f>LOOKUP(B265,ΠΕΡΙΦΕΡΕΙΑ!$A$2:$A$14,ΠΕΡΙΦΕΡΕΙΑ!$B$2:$B$14)</f>
        <v>Μερική</v>
      </c>
      <c r="J265" t="str">
        <f t="shared" si="32"/>
        <v/>
      </c>
      <c r="K265" s="203">
        <f t="shared" si="29"/>
        <v>312</v>
      </c>
      <c r="L265" t="str">
        <f t="shared" si="30"/>
        <v>ΣΤΕΡΕΑΣ ΕΛΛΑΔΑΣ</v>
      </c>
      <c r="M265" t="str">
        <f t="shared" si="31"/>
        <v>ΣΤΕΡΕΑΣ ΕΛΛΑΔΑΣ - ΚΑΡΠΕΝΗΣΙΟΥ</v>
      </c>
      <c r="N265" s="201">
        <f t="shared" si="33"/>
        <v>14194</v>
      </c>
      <c r="O265" s="201" t="str">
        <f t="shared" si="34"/>
        <v>Καρπενησίου</v>
      </c>
    </row>
    <row r="266" spans="1:15" x14ac:dyDescent="0.3">
      <c r="A266" s="203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201" t="s">
        <v>844</v>
      </c>
      <c r="G266" s="201">
        <v>14436</v>
      </c>
      <c r="H266" t="str">
        <f>_xlfn.IFNA(INDEX(DimosNaiOxi,MATCH(ΤΚ!E266,DimosNai,0)),"")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203">
        <f t="shared" si="29"/>
        <v>313</v>
      </c>
      <c r="L266" t="str">
        <f t="shared" si="30"/>
        <v>ΣΤΕΡΕΑΣ ΕΛΛΑΔΑΣ</v>
      </c>
      <c r="M266" t="str">
        <f t="shared" si="31"/>
        <v>ΣΤΕΡΕΑΣ ΕΛΛΑΔΑΣ - ΚΑΡΥΣΤΟΥ</v>
      </c>
      <c r="N266" s="201">
        <f t="shared" si="33"/>
        <v>14196</v>
      </c>
      <c r="O266" s="201" t="str">
        <f t="shared" si="34"/>
        <v>Καρύστου</v>
      </c>
    </row>
    <row r="267" spans="1:15" x14ac:dyDescent="0.3">
      <c r="A267" s="203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201" t="s">
        <v>845</v>
      </c>
      <c r="G267" s="201">
        <v>14450</v>
      </c>
      <c r="H267" t="str">
        <f>_xlfn.IFNA(INDEX(DimosNaiOxi,MATCH(ΤΚ!E267,DimosNai,0)),"")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203">
        <f t="shared" si="29"/>
        <v>314</v>
      </c>
      <c r="L267" t="str">
        <f t="shared" si="30"/>
        <v>ΣΤΕΡΕΑΣ ΕΛΛΑΔΑΣ</v>
      </c>
      <c r="M267" t="str">
        <f t="shared" si="31"/>
        <v>ΣΤΕΡΕΑΣ ΕΛΛΑΔΑΣ - ΚΥΜΗΣ – ΑΛΙΒΕΡΙΟΥ</v>
      </c>
      <c r="N267" s="201">
        <f t="shared" si="33"/>
        <v>14234</v>
      </c>
      <c r="O267" s="201" t="str">
        <f t="shared" si="34"/>
        <v>Κύμης - Αλιβερίου</v>
      </c>
    </row>
    <row r="268" spans="1:15" x14ac:dyDescent="0.3">
      <c r="A268" s="203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201" t="s">
        <v>846</v>
      </c>
      <c r="G268" s="201">
        <v>14458</v>
      </c>
      <c r="H268" t="str">
        <f>_xlfn.IFNA(INDEX(DimosNaiOxi,MATCH(ΤΚ!E268,DimosNai,0)),"")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203">
        <f t="shared" si="29"/>
        <v>315</v>
      </c>
      <c r="L268" t="str">
        <f t="shared" si="30"/>
        <v>ΣΤΕΡΕΑΣ ΕΛΛΑΔΑΣ</v>
      </c>
      <c r="M268" t="str">
        <f t="shared" si="31"/>
        <v>ΣΤΕΡΕΑΣ ΕΛΛΑΔΑΣ - ΛΑΜΙΕΩΝ</v>
      </c>
      <c r="N268" s="201">
        <f t="shared" si="33"/>
        <v>14236</v>
      </c>
      <c r="O268" s="201" t="str">
        <f t="shared" si="34"/>
        <v>Λαμιέων</v>
      </c>
    </row>
    <row r="269" spans="1:15" x14ac:dyDescent="0.3">
      <c r="A269" s="203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201" t="s">
        <v>847</v>
      </c>
      <c r="G269" s="201">
        <v>14464</v>
      </c>
      <c r="H269" t="str">
        <f>_xlfn.IFNA(INDEX(DimosNaiOxi,MATCH(ΤΚ!E269,DimosNai,0)),"")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203">
        <f t="shared" si="29"/>
        <v>316</v>
      </c>
      <c r="L269" t="str">
        <f t="shared" si="30"/>
        <v>ΣΤΕΡΕΑΣ ΕΛΛΑΔΑΣ</v>
      </c>
      <c r="M269" t="str">
        <f t="shared" si="31"/>
        <v>ΣΤΕΡΕΑΣ ΕΛΛΑΔΑΣ - ΛΕΒΑΔΕΩΝ</v>
      </c>
      <c r="N269" s="201">
        <f t="shared" si="33"/>
        <v>14250</v>
      </c>
      <c r="O269" s="201" t="str">
        <f t="shared" si="34"/>
        <v>Λεβαδέων</v>
      </c>
    </row>
    <row r="270" spans="1:15" x14ac:dyDescent="0.3">
      <c r="A270" s="203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201" t="s">
        <v>848</v>
      </c>
      <c r="G270" s="201">
        <v>14486</v>
      </c>
      <c r="H270" t="str">
        <f>_xlfn.IFNA(INDEX(DimosNaiOxi,MATCH(ΤΚ!E270,DimosNai,0)),"")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203">
        <f t="shared" si="29"/>
        <v>317</v>
      </c>
      <c r="L270" t="str">
        <f t="shared" si="30"/>
        <v>ΣΤΕΡΕΑΣ ΕΛΛΑΔΑΣ</v>
      </c>
      <c r="M270" t="str">
        <f t="shared" si="31"/>
        <v>ΣΤΕΡΕΑΣ ΕΛΛΑΔΑΣ - ΛΟΚΡΩΝ</v>
      </c>
      <c r="N270" s="201">
        <f t="shared" si="33"/>
        <v>14242</v>
      </c>
      <c r="O270" s="201" t="str">
        <f t="shared" si="34"/>
        <v>Λοκρών</v>
      </c>
    </row>
    <row r="271" spans="1:15" x14ac:dyDescent="0.3">
      <c r="A271" s="203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201" t="s">
        <v>849</v>
      </c>
      <c r="G271" s="201">
        <v>14488</v>
      </c>
      <c r="H271" t="str">
        <f>_xlfn.IFNA(INDEX(DimosNaiOxi,MATCH(ΤΚ!E271,DimosNai,0)),"")</f>
        <v>ΝΑΙ</v>
      </c>
      <c r="I271" t="str">
        <f>LOOKUP(B271,ΠΕΡΙΦΕΡΕΙΑ!$A$2:$A$14,ΠΕΡΙΦΕΡΕΙΑ!$B$2:$B$14)</f>
        <v>Μερική</v>
      </c>
      <c r="J271">
        <f t="shared" si="32"/>
        <v>270</v>
      </c>
      <c r="K271" s="203">
        <f t="shared" si="29"/>
        <v>318</v>
      </c>
      <c r="L271" t="str">
        <f t="shared" si="30"/>
        <v>ΣΤΕΡΕΑΣ ΕΛΛΑΔΑΣ</v>
      </c>
      <c r="M271" t="str">
        <f t="shared" si="31"/>
        <v>ΣΤΕΡΕΑΣ ΕΛΛΑΔΑΣ - ΜΑΚΡΑΚΩΜΗΣ</v>
      </c>
      <c r="N271" s="201">
        <f t="shared" si="33"/>
        <v>14262</v>
      </c>
      <c r="O271" s="201" t="str">
        <f t="shared" si="34"/>
        <v>Μακρακώμης</v>
      </c>
    </row>
    <row r="272" spans="1:15" x14ac:dyDescent="0.3">
      <c r="A272" s="203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201" t="s">
        <v>850</v>
      </c>
      <c r="G272" s="201">
        <v>14496</v>
      </c>
      <c r="H272" t="str">
        <f>_xlfn.IFNA(INDEX(DimosNaiOxi,MATCH(ΤΚ!E272,DimosNai,0)),"")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203">
        <f t="shared" si="29"/>
        <v>319</v>
      </c>
      <c r="L272" t="str">
        <f t="shared" si="30"/>
        <v>ΣΤΕΡΕΑΣ ΕΛΛΑΔΑΣ</v>
      </c>
      <c r="M272" t="str">
        <f t="shared" si="31"/>
        <v>ΣΤΕΡΕΑΣ ΕΛΛΑΔΑΣ - ΜΑΝΤΟΥΔΙΟΥ – ΛΙΜΝΗΣ – ΑΓΙΑΣ ΑΝΝΑΣ</v>
      </c>
      <c r="N272" s="201">
        <f t="shared" si="33"/>
        <v>14276</v>
      </c>
      <c r="O272" s="201" t="str">
        <f t="shared" si="34"/>
        <v>Μαντουδίου - Λίμνης - Αγίας Άννας</v>
      </c>
    </row>
    <row r="273" spans="1:15" x14ac:dyDescent="0.3">
      <c r="A273" s="203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201" t="s">
        <v>851</v>
      </c>
      <c r="G273" s="201">
        <v>14498</v>
      </c>
      <c r="H273" t="str">
        <f>_xlfn.IFNA(INDEX(DimosNaiOxi,MATCH(ΤΚ!E273,DimosNai,0)),"")</f>
        <v>ΝΑΙ</v>
      </c>
      <c r="I273" t="str">
        <f>LOOKUP(B273,ΠΕΡΙΦΕΡΕΙΑ!$A$2:$A$14,ΠΕΡΙΦΕΡΕΙΑ!$B$2:$B$14)</f>
        <v>Μερική</v>
      </c>
      <c r="J273">
        <f t="shared" si="32"/>
        <v>272</v>
      </c>
      <c r="K273" s="203">
        <f t="shared" si="29"/>
        <v>320</v>
      </c>
      <c r="L273" t="str">
        <f t="shared" si="30"/>
        <v>ΣΤΕΡΕΑΣ ΕΛΛΑΔΑΣ</v>
      </c>
      <c r="M273" t="str">
        <f t="shared" si="31"/>
        <v>ΣΤΕΡΕΑΣ ΕΛΛΑΔΑΣ - ΜΩΛΟΥ – ΑΓΙΟΥ ΚΩΝΣΤΑΝΤΙΝΟΥ</v>
      </c>
      <c r="N273" s="201">
        <f t="shared" si="33"/>
        <v>14308</v>
      </c>
      <c r="O273" s="201" t="str">
        <f t="shared" si="34"/>
        <v>Μώλου - Αγ. Κωνσταντίνου</v>
      </c>
    </row>
    <row r="274" spans="1:15" x14ac:dyDescent="0.3">
      <c r="A274" s="203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201" t="s">
        <v>852</v>
      </c>
      <c r="G274" s="201">
        <v>14522</v>
      </c>
      <c r="H274" t="str">
        <f>_xlfn.IFNA(INDEX(DimosNaiOxi,MATCH(ΤΚ!E274,DimosNai,0)),"")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203">
        <f t="shared" si="29"/>
        <v>321</v>
      </c>
      <c r="L274" t="str">
        <f t="shared" si="30"/>
        <v>ΣΤΕΡΕΑΣ ΕΛΛΑΔΑΣ</v>
      </c>
      <c r="M274" t="str">
        <f t="shared" si="31"/>
        <v>ΣΤΕΡΕΑΣ ΕΛΛΑΔΑΣ - ΟΡΧΟΜΕΝΟΥ</v>
      </c>
      <c r="N274" s="201">
        <f t="shared" si="33"/>
        <v>14356</v>
      </c>
      <c r="O274" s="201" t="str">
        <f t="shared" si="34"/>
        <v>Ορχομενού</v>
      </c>
    </row>
    <row r="275" spans="1:15" x14ac:dyDescent="0.3">
      <c r="A275" s="203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201" t="s">
        <v>853</v>
      </c>
      <c r="G275" s="201">
        <v>14536</v>
      </c>
      <c r="H275" t="str">
        <f>_xlfn.IFNA(INDEX(DimosNaiOxi,MATCH(ΤΚ!E275,DimosNai,0)),"")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203">
        <f t="shared" si="29"/>
        <v>323</v>
      </c>
      <c r="L275" t="str">
        <f t="shared" si="30"/>
        <v>ΣΤΕΡΕΑΣ ΕΛΛΑΔΑΣ</v>
      </c>
      <c r="M275" t="str">
        <f t="shared" si="31"/>
        <v>ΣΤΕΡΕΑΣ ΕΛΛΑΔΑΣ - ΣΤΥΛΙΔΟΣ</v>
      </c>
      <c r="N275" s="201">
        <f t="shared" si="33"/>
        <v>14484</v>
      </c>
      <c r="O275" s="201" t="str">
        <f t="shared" si="34"/>
        <v>Στυλίδας</v>
      </c>
    </row>
    <row r="276" spans="1:15" x14ac:dyDescent="0.3">
      <c r="A276" s="203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201" t="s">
        <v>854</v>
      </c>
      <c r="G276" s="201">
        <v>13980</v>
      </c>
      <c r="H276" t="str">
        <f>_xlfn.IFNA(INDEX(DimosNaiOxi,MATCH(ΤΚ!E276,DimosNai,0)),"")</f>
        <v>ΝΑΙ</v>
      </c>
      <c r="I276" t="str">
        <f>LOOKUP(B276,ΠΕΡΙΦΕΡΕΙΑ!$A$2:$A$14,ΠΕΡΙΦΕΡΕΙΑ!$B$2:$B$14)</f>
        <v>Μερική</v>
      </c>
      <c r="J276">
        <f t="shared" si="32"/>
        <v>275</v>
      </c>
      <c r="K276" s="203">
        <f t="shared" si="29"/>
        <v>325</v>
      </c>
      <c r="L276" t="str">
        <f t="shared" si="30"/>
        <v>ΣΤΕΡΕΑΣ ΕΛΛΑΔΑΣ</v>
      </c>
      <c r="M276" t="str">
        <f t="shared" si="31"/>
        <v>ΣΤΕΡΕΑΣ ΕΛΛΑΔΑΣ - ΧΑΛΚΙΔΕΩΝ</v>
      </c>
      <c r="N276" s="201">
        <f t="shared" si="33"/>
        <v>14538</v>
      </c>
      <c r="O276" s="201" t="str">
        <f t="shared" si="34"/>
        <v>Χαλκιδέων</v>
      </c>
    </row>
    <row r="277" spans="1:15" x14ac:dyDescent="0.3">
      <c r="A277" s="203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201" t="s">
        <v>855</v>
      </c>
      <c r="G277" s="201">
        <v>13994</v>
      </c>
      <c r="H277" t="str">
        <f>_xlfn.IFNA(INDEX(DimosNaiOxi,MATCH(ΤΚ!E277,DimosNai,0)),"")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203" t="e">
        <f t="shared" si="29"/>
        <v>#NUM!</v>
      </c>
      <c r="L277" t="str">
        <f t="shared" si="30"/>
        <v/>
      </c>
      <c r="M277" t="str">
        <f t="shared" si="31"/>
        <v/>
      </c>
      <c r="N277" s="201" t="str">
        <f t="shared" si="33"/>
        <v/>
      </c>
      <c r="O277" s="201" t="str">
        <f t="shared" si="34"/>
        <v/>
      </c>
    </row>
    <row r="278" spans="1:15" x14ac:dyDescent="0.3">
      <c r="A278" s="203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201" t="s">
        <v>856</v>
      </c>
      <c r="G278" s="201">
        <v>14012</v>
      </c>
      <c r="H278" t="str">
        <f>_xlfn.IFNA(INDEX(DimosNaiOxi,MATCH(ΤΚ!E278,DimosNai,0)),"")</f>
        <v>ΝΑΙ</v>
      </c>
      <c r="I278" t="str">
        <f>LOOKUP(B278,ΠΕΡΙΦΕΡΕΙΑ!$A$2:$A$14,ΠΕΡΙΦΕΡΕΙΑ!$B$2:$B$14)</f>
        <v>Μερική</v>
      </c>
      <c r="J278">
        <f t="shared" si="32"/>
        <v>277</v>
      </c>
      <c r="K278" s="203" t="e">
        <f t="shared" si="29"/>
        <v>#NUM!</v>
      </c>
      <c r="L278" t="str">
        <f t="shared" si="30"/>
        <v/>
      </c>
      <c r="M278" t="str">
        <f t="shared" si="31"/>
        <v/>
      </c>
      <c r="N278" s="201" t="str">
        <f t="shared" si="33"/>
        <v/>
      </c>
      <c r="O278" s="201" t="str">
        <f t="shared" si="34"/>
        <v/>
      </c>
    </row>
    <row r="279" spans="1:15" x14ac:dyDescent="0.3">
      <c r="A279" s="203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201" t="s">
        <v>857</v>
      </c>
      <c r="G279" s="201">
        <v>14020</v>
      </c>
      <c r="H279" t="str">
        <f>_xlfn.IFNA(INDEX(DimosNaiOxi,MATCH(ΤΚ!E279,DimosNai,0)),"")</f>
        <v>ΝΑΙ</v>
      </c>
      <c r="I279" t="str">
        <f>LOOKUP(B279,ΠΕΡΙΦΕΡΕΙΑ!$A$2:$A$14,ΠΕΡΙΦΕΡΕΙΑ!$B$2:$B$14)</f>
        <v>Μερική</v>
      </c>
      <c r="J279">
        <f t="shared" si="32"/>
        <v>278</v>
      </c>
      <c r="K279" s="203" t="e">
        <f t="shared" si="29"/>
        <v>#NUM!</v>
      </c>
      <c r="L279" t="str">
        <f t="shared" si="30"/>
        <v/>
      </c>
      <c r="M279" t="str">
        <f t="shared" si="31"/>
        <v/>
      </c>
      <c r="N279" s="201" t="str">
        <f t="shared" si="33"/>
        <v/>
      </c>
      <c r="O279" s="201" t="str">
        <f t="shared" si="34"/>
        <v/>
      </c>
    </row>
    <row r="280" spans="1:15" x14ac:dyDescent="0.3">
      <c r="A280" s="203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201" t="s">
        <v>858</v>
      </c>
      <c r="G280" s="201">
        <v>14046</v>
      </c>
      <c r="H280" t="str">
        <f>_xlfn.IFNA(INDEX(DimosNaiOxi,MATCH(ΤΚ!E280,DimosNai,0)),"")</f>
        <v>ΝΑΙ</v>
      </c>
      <c r="I280" t="str">
        <f>LOOKUP(B280,ΠΕΡΙΦΕΡΕΙΑ!$A$2:$A$14,ΠΕΡΙΦΕΡΕΙΑ!$B$2:$B$14)</f>
        <v>Μερική</v>
      </c>
      <c r="J280">
        <f t="shared" si="32"/>
        <v>279</v>
      </c>
      <c r="K280" s="203" t="e">
        <f t="shared" si="29"/>
        <v>#NUM!</v>
      </c>
      <c r="L280" t="str">
        <f t="shared" si="30"/>
        <v/>
      </c>
      <c r="M280" t="str">
        <f t="shared" si="31"/>
        <v/>
      </c>
      <c r="N280" s="201" t="str">
        <f t="shared" si="33"/>
        <v/>
      </c>
      <c r="O280" s="201" t="str">
        <f t="shared" si="34"/>
        <v/>
      </c>
    </row>
    <row r="281" spans="1:15" x14ac:dyDescent="0.3">
      <c r="A281" s="203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201" t="s">
        <v>859</v>
      </c>
      <c r="G281" s="201">
        <v>14074</v>
      </c>
      <c r="H281" t="str">
        <f>_xlfn.IFNA(INDEX(DimosNaiOxi,MATCH(ΤΚ!E281,DimosNai,0)),"")</f>
        <v>ΝΑΙ</v>
      </c>
      <c r="I281" t="str">
        <f>LOOKUP(B281,ΠΕΡΙΦΕΡΕΙΑ!$A$2:$A$14,ΠΕΡΙΦΕΡΕΙΑ!$B$2:$B$14)</f>
        <v>Μερική</v>
      </c>
      <c r="J281">
        <f t="shared" si="32"/>
        <v>280</v>
      </c>
      <c r="K281" s="203" t="e">
        <f t="shared" si="29"/>
        <v>#NUM!</v>
      </c>
      <c r="L281" t="str">
        <f t="shared" si="30"/>
        <v/>
      </c>
      <c r="M281" t="str">
        <f t="shared" si="31"/>
        <v/>
      </c>
      <c r="N281" s="201" t="str">
        <f t="shared" si="33"/>
        <v/>
      </c>
      <c r="O281" s="201" t="str">
        <f t="shared" si="34"/>
        <v/>
      </c>
    </row>
    <row r="282" spans="1:15" x14ac:dyDescent="0.3">
      <c r="A282" s="203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201" t="s">
        <v>860</v>
      </c>
      <c r="G282" s="201">
        <v>13912</v>
      </c>
      <c r="H282" t="str">
        <f>_xlfn.IFNA(INDEX(DimosNaiOxi,MATCH(ΤΚ!E282,DimosNai,0)),"")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203" t="e">
        <f t="shared" si="29"/>
        <v>#NUM!</v>
      </c>
      <c r="L282" t="str">
        <f t="shared" si="30"/>
        <v/>
      </c>
      <c r="M282" t="str">
        <f t="shared" si="31"/>
        <v/>
      </c>
      <c r="N282" s="201" t="str">
        <f t="shared" si="33"/>
        <v/>
      </c>
      <c r="O282" s="201" t="str">
        <f t="shared" si="34"/>
        <v/>
      </c>
    </row>
    <row r="283" spans="1:15" x14ac:dyDescent="0.3">
      <c r="A283" s="203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201" t="s">
        <v>861</v>
      </c>
      <c r="G283" s="201">
        <v>14092</v>
      </c>
      <c r="H283" t="str">
        <f>_xlfn.IFNA(INDEX(DimosNaiOxi,MATCH(ΤΚ!E283,DimosNai,0)),"")</f>
        <v>ΝΑΙ</v>
      </c>
      <c r="I283" t="str">
        <f>LOOKUP(B283,ΠΕΡΙΦΕΡΕΙΑ!$A$2:$A$14,ΠΕΡΙΦΕΡΕΙΑ!$B$2:$B$14)</f>
        <v>Μερική</v>
      </c>
      <c r="J283">
        <f t="shared" si="32"/>
        <v>282</v>
      </c>
      <c r="K283" s="203" t="e">
        <f t="shared" si="29"/>
        <v>#NUM!</v>
      </c>
      <c r="L283" t="str">
        <f t="shared" si="30"/>
        <v/>
      </c>
      <c r="M283" t="str">
        <f t="shared" si="31"/>
        <v/>
      </c>
      <c r="N283" s="201" t="str">
        <f t="shared" si="33"/>
        <v/>
      </c>
      <c r="O283" s="201" t="str">
        <f t="shared" si="34"/>
        <v/>
      </c>
    </row>
    <row r="284" spans="1:15" x14ac:dyDescent="0.3">
      <c r="A284" s="203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201" t="s">
        <v>862</v>
      </c>
      <c r="G284" s="201">
        <v>14096</v>
      </c>
      <c r="H284" t="str">
        <f>_xlfn.IFNA(INDEX(DimosNaiOxi,MATCH(ΤΚ!E284,DimosNai,0)),"")</f>
        <v>ΝΑΙ</v>
      </c>
      <c r="I284" t="str">
        <f>LOOKUP(B284,ΠΕΡΙΦΕΡΕΙΑ!$A$2:$A$14,ΠΕΡΙΦΕΡΕΙΑ!$B$2:$B$14)</f>
        <v>Μερική</v>
      </c>
      <c r="J284">
        <f t="shared" si="32"/>
        <v>283</v>
      </c>
      <c r="K284" s="203" t="e">
        <f t="shared" si="29"/>
        <v>#NUM!</v>
      </c>
      <c r="L284" t="str">
        <f t="shared" si="30"/>
        <v/>
      </c>
      <c r="M284" t="str">
        <f t="shared" si="31"/>
        <v/>
      </c>
      <c r="N284" s="201" t="str">
        <f t="shared" si="33"/>
        <v/>
      </c>
      <c r="O284" s="201" t="str">
        <f t="shared" si="34"/>
        <v/>
      </c>
    </row>
    <row r="285" spans="1:15" x14ac:dyDescent="0.3">
      <c r="A285" s="203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201" t="s">
        <v>863</v>
      </c>
      <c r="G285" s="201">
        <v>14100</v>
      </c>
      <c r="H285" t="str">
        <f>_xlfn.IFNA(INDEX(DimosNaiOxi,MATCH(ΤΚ!E285,DimosNai,0)),"")</f>
        <v>ΝΑΙ</v>
      </c>
      <c r="I285" t="str">
        <f>LOOKUP(B285,ΠΕΡΙΦΕΡΕΙΑ!$A$2:$A$14,ΠΕΡΙΦΕΡΕΙΑ!$B$2:$B$14)</f>
        <v>Μερική</v>
      </c>
      <c r="J285">
        <f t="shared" si="32"/>
        <v>284</v>
      </c>
      <c r="K285" s="203" t="e">
        <f t="shared" si="29"/>
        <v>#NUM!</v>
      </c>
      <c r="L285" t="str">
        <f t="shared" si="30"/>
        <v/>
      </c>
      <c r="M285" t="str">
        <f t="shared" si="31"/>
        <v/>
      </c>
      <c r="N285" s="201" t="str">
        <f t="shared" si="33"/>
        <v/>
      </c>
      <c r="O285" s="201" t="str">
        <f t="shared" si="34"/>
        <v/>
      </c>
    </row>
    <row r="286" spans="1:15" x14ac:dyDescent="0.3">
      <c r="A286" s="203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201" t="s">
        <v>864</v>
      </c>
      <c r="G286" s="201">
        <v>14178</v>
      </c>
      <c r="H286" t="str">
        <f>_xlfn.IFNA(INDEX(DimosNaiOxi,MATCH(ΤΚ!E286,DimosNai,0)),"")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203" t="e">
        <f t="shared" si="29"/>
        <v>#NUM!</v>
      </c>
      <c r="L286" t="str">
        <f t="shared" si="30"/>
        <v/>
      </c>
      <c r="M286" t="str">
        <f t="shared" si="31"/>
        <v/>
      </c>
      <c r="N286" s="201" t="str">
        <f t="shared" si="33"/>
        <v/>
      </c>
      <c r="O286" s="201" t="str">
        <f t="shared" si="34"/>
        <v/>
      </c>
    </row>
    <row r="287" spans="1:15" x14ac:dyDescent="0.3">
      <c r="A287" s="203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201" t="s">
        <v>865</v>
      </c>
      <c r="G287" s="201">
        <v>14168</v>
      </c>
      <c r="H287" t="str">
        <f>_xlfn.IFNA(INDEX(DimosNaiOxi,MATCH(ΤΚ!E287,DimosNai,0)),"")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203" t="e">
        <f t="shared" si="29"/>
        <v>#NUM!</v>
      </c>
      <c r="L287" t="str">
        <f t="shared" si="30"/>
        <v/>
      </c>
      <c r="M287" t="str">
        <f t="shared" si="31"/>
        <v/>
      </c>
      <c r="N287" s="201" t="str">
        <f t="shared" si="33"/>
        <v/>
      </c>
      <c r="O287" s="201" t="str">
        <f t="shared" si="34"/>
        <v/>
      </c>
    </row>
    <row r="288" spans="1:15" x14ac:dyDescent="0.3">
      <c r="A288" s="203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201" t="s">
        <v>866</v>
      </c>
      <c r="G288" s="201">
        <v>14244</v>
      </c>
      <c r="H288" t="str">
        <f>_xlfn.IFNA(INDEX(DimosNaiOxi,MATCH(ΤΚ!E288,DimosNai,0)),"")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203" t="e">
        <f t="shared" si="29"/>
        <v>#NUM!</v>
      </c>
      <c r="L288" t="str">
        <f t="shared" si="30"/>
        <v/>
      </c>
      <c r="M288" t="str">
        <f t="shared" si="31"/>
        <v/>
      </c>
      <c r="N288" s="201" t="str">
        <f t="shared" si="33"/>
        <v/>
      </c>
      <c r="O288" s="201" t="str">
        <f t="shared" si="34"/>
        <v/>
      </c>
    </row>
    <row r="289" spans="1:15" x14ac:dyDescent="0.3">
      <c r="A289" s="203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201" t="s">
        <v>867</v>
      </c>
      <c r="G289" s="201">
        <v>14282</v>
      </c>
      <c r="H289" t="str">
        <f>_xlfn.IFNA(INDEX(DimosNaiOxi,MATCH(ΤΚ!E289,DimosNai,0)),"")</f>
        <v>ΝΑΙ</v>
      </c>
      <c r="I289" t="str">
        <f>LOOKUP(B289,ΠΕΡΙΦΕΡΕΙΑ!$A$2:$A$14,ΠΕΡΙΦΕΡΕΙΑ!$B$2:$B$14)</f>
        <v>Μερική</v>
      </c>
      <c r="J289">
        <f t="shared" si="32"/>
        <v>288</v>
      </c>
      <c r="K289" s="203" t="e">
        <f t="shared" si="29"/>
        <v>#NUM!</v>
      </c>
      <c r="L289" t="str">
        <f t="shared" si="30"/>
        <v/>
      </c>
      <c r="M289" t="str">
        <f t="shared" si="31"/>
        <v/>
      </c>
      <c r="N289" s="201" t="str">
        <f t="shared" si="33"/>
        <v/>
      </c>
      <c r="O289" s="201" t="str">
        <f t="shared" si="34"/>
        <v/>
      </c>
    </row>
    <row r="290" spans="1:15" x14ac:dyDescent="0.3">
      <c r="A290" s="203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201" t="s">
        <v>868</v>
      </c>
      <c r="G290" s="201">
        <v>14292</v>
      </c>
      <c r="H290" t="str">
        <f>_xlfn.IFNA(INDEX(DimosNaiOxi,MATCH(ΤΚ!E290,DimosNai,0)),"")</f>
        <v>ΝΑΙ</v>
      </c>
      <c r="I290" t="str">
        <f>LOOKUP(B290,ΠΕΡΙΦΕΡΕΙΑ!$A$2:$A$14,ΠΕΡΙΦΕΡΕΙΑ!$B$2:$B$14)</f>
        <v>Μερική</v>
      </c>
      <c r="J290">
        <f t="shared" si="32"/>
        <v>289</v>
      </c>
      <c r="K290" s="203" t="e">
        <f t="shared" si="29"/>
        <v>#NUM!</v>
      </c>
      <c r="L290" t="str">
        <f t="shared" si="30"/>
        <v/>
      </c>
      <c r="M290" t="str">
        <f t="shared" si="31"/>
        <v/>
      </c>
      <c r="N290" s="201" t="str">
        <f t="shared" si="33"/>
        <v/>
      </c>
      <c r="O290" s="201" t="str">
        <f t="shared" si="34"/>
        <v/>
      </c>
    </row>
    <row r="291" spans="1:15" x14ac:dyDescent="0.3">
      <c r="A291" s="203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201" t="s">
        <v>869</v>
      </c>
      <c r="G291" s="201">
        <v>14268</v>
      </c>
      <c r="H291" t="str">
        <f>_xlfn.IFNA(INDEX(DimosNaiOxi,MATCH(ΤΚ!E291,DimosNai,0)),"")</f>
        <v>ΝΑΙ</v>
      </c>
      <c r="I291" t="str">
        <f>LOOKUP(B291,ΠΕΡΙΦΕΡΕΙΑ!$A$2:$A$14,ΠΕΡΙΦΕΡΕΙΑ!$B$2:$B$14)</f>
        <v>Μερική</v>
      </c>
      <c r="J291">
        <f t="shared" si="32"/>
        <v>290</v>
      </c>
      <c r="K291" s="203" t="e">
        <f t="shared" si="29"/>
        <v>#NUM!</v>
      </c>
      <c r="L291" t="str">
        <f t="shared" si="30"/>
        <v/>
      </c>
      <c r="M291" t="str">
        <f t="shared" si="31"/>
        <v/>
      </c>
      <c r="N291" s="201" t="str">
        <f t="shared" si="33"/>
        <v/>
      </c>
      <c r="O291" s="201" t="str">
        <f t="shared" si="34"/>
        <v/>
      </c>
    </row>
    <row r="292" spans="1:15" x14ac:dyDescent="0.3">
      <c r="A292" s="203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201" t="s">
        <v>870</v>
      </c>
      <c r="G292" s="201">
        <v>14314</v>
      </c>
      <c r="H292" t="str">
        <f>_xlfn.IFNA(INDEX(DimosNaiOxi,MATCH(ΤΚ!E292,DimosNai,0)),"")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203" t="e">
        <f t="shared" si="29"/>
        <v>#NUM!</v>
      </c>
      <c r="L292" t="str">
        <f t="shared" si="30"/>
        <v/>
      </c>
      <c r="M292" t="str">
        <f t="shared" si="31"/>
        <v/>
      </c>
      <c r="N292" s="201" t="str">
        <f t="shared" si="33"/>
        <v/>
      </c>
      <c r="O292" s="201" t="str">
        <f t="shared" si="34"/>
        <v/>
      </c>
    </row>
    <row r="293" spans="1:15" x14ac:dyDescent="0.3">
      <c r="A293" s="203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201" t="s">
        <v>871</v>
      </c>
      <c r="G293" s="201">
        <v>14322</v>
      </c>
      <c r="H293" t="str">
        <f>_xlfn.IFNA(INDEX(DimosNaiOxi,MATCH(ΤΚ!E293,DimosNai,0)),"")</f>
        <v>ΝΑΙ</v>
      </c>
      <c r="I293" t="str">
        <f>LOOKUP(B293,ΠΕΡΙΦΕΡΕΙΑ!$A$2:$A$14,ΠΕΡΙΦΕΡΕΙΑ!$B$2:$B$14)</f>
        <v>Μερική</v>
      </c>
      <c r="J293">
        <f t="shared" si="32"/>
        <v>292</v>
      </c>
      <c r="K293" s="203" t="e">
        <f t="shared" si="29"/>
        <v>#NUM!</v>
      </c>
      <c r="L293" t="str">
        <f t="shared" si="30"/>
        <v/>
      </c>
      <c r="M293" t="str">
        <f t="shared" si="31"/>
        <v/>
      </c>
      <c r="N293" s="201" t="str">
        <f t="shared" si="33"/>
        <v/>
      </c>
      <c r="O293" s="201" t="str">
        <f t="shared" si="34"/>
        <v/>
      </c>
    </row>
    <row r="294" spans="1:15" x14ac:dyDescent="0.3">
      <c r="A294" s="203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201" t="s">
        <v>872</v>
      </c>
      <c r="G294" s="201">
        <v>14340</v>
      </c>
      <c r="H294" t="str">
        <f>_xlfn.IFNA(INDEX(DimosNaiOxi,MATCH(ΤΚ!E294,DimosNai,0)),"")</f>
        <v>ΝΑΙ</v>
      </c>
      <c r="I294" t="str">
        <f>LOOKUP(B294,ΠΕΡΙΦΕΡΕΙΑ!$A$2:$A$14,ΠΕΡΙΦΕΡΕΙΑ!$B$2:$B$14)</f>
        <v>Μερική</v>
      </c>
      <c r="J294">
        <f t="shared" si="32"/>
        <v>293</v>
      </c>
      <c r="K294" s="203" t="e">
        <f t="shared" si="29"/>
        <v>#NUM!</v>
      </c>
      <c r="L294" t="str">
        <f t="shared" si="30"/>
        <v/>
      </c>
      <c r="M294" t="str">
        <f t="shared" si="31"/>
        <v/>
      </c>
      <c r="N294" s="201" t="str">
        <f t="shared" si="33"/>
        <v/>
      </c>
      <c r="O294" s="201" t="str">
        <f t="shared" si="34"/>
        <v/>
      </c>
    </row>
    <row r="295" spans="1:15" x14ac:dyDescent="0.3">
      <c r="A295" s="203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201" t="s">
        <v>873</v>
      </c>
      <c r="G295" s="201">
        <v>14346</v>
      </c>
      <c r="H295" t="str">
        <f>_xlfn.IFNA(INDEX(DimosNaiOxi,MATCH(ΤΚ!E295,DimosNai,0)),"")</f>
        <v>ΝΑΙ</v>
      </c>
      <c r="I295" t="str">
        <f>LOOKUP(B295,ΠΕΡΙΦΕΡΕΙΑ!$A$2:$A$14,ΠΕΡΙΦΕΡΕΙΑ!$B$2:$B$14)</f>
        <v>Μερική</v>
      </c>
      <c r="J295">
        <f t="shared" si="32"/>
        <v>294</v>
      </c>
      <c r="K295" s="203" t="e">
        <f t="shared" si="29"/>
        <v>#NUM!</v>
      </c>
      <c r="L295" t="str">
        <f t="shared" si="30"/>
        <v/>
      </c>
      <c r="M295" t="str">
        <f t="shared" si="31"/>
        <v/>
      </c>
      <c r="N295" s="201" t="str">
        <f t="shared" si="33"/>
        <v/>
      </c>
      <c r="O295" s="201" t="str">
        <f t="shared" si="34"/>
        <v/>
      </c>
    </row>
    <row r="296" spans="1:15" x14ac:dyDescent="0.3">
      <c r="A296" s="203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201" t="s">
        <v>874</v>
      </c>
      <c r="G296" s="201">
        <v>14350</v>
      </c>
      <c r="H296" t="str">
        <f>_xlfn.IFNA(INDEX(DimosNaiOxi,MATCH(ΤΚ!E296,DimosNai,0)),"")</f>
        <v>ΝΑΙ</v>
      </c>
      <c r="I296" t="str">
        <f>LOOKUP(B296,ΠΕΡΙΦΕΡΕΙΑ!$A$2:$A$14,ΠΕΡΙΦΕΡΕΙΑ!$B$2:$B$14)</f>
        <v>Μερική</v>
      </c>
      <c r="J296">
        <f t="shared" si="32"/>
        <v>295</v>
      </c>
      <c r="K296" s="203" t="e">
        <f t="shared" si="29"/>
        <v>#NUM!</v>
      </c>
      <c r="L296" t="str">
        <f t="shared" si="30"/>
        <v/>
      </c>
      <c r="M296" t="str">
        <f t="shared" si="31"/>
        <v/>
      </c>
      <c r="N296" s="201" t="str">
        <f t="shared" si="33"/>
        <v/>
      </c>
      <c r="O296" s="201" t="str">
        <f t="shared" si="34"/>
        <v/>
      </c>
    </row>
    <row r="297" spans="1:15" x14ac:dyDescent="0.3">
      <c r="A297" s="203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201" t="s">
        <v>875</v>
      </c>
      <c r="G297" s="201">
        <v>14426</v>
      </c>
      <c r="H297" t="str">
        <f>_xlfn.IFNA(INDEX(DimosNaiOxi,MATCH(ΤΚ!E297,DimosNai,0)),"")</f>
        <v>ΝΑΙ</v>
      </c>
      <c r="I297" t="str">
        <f>LOOKUP(B297,ΠΕΡΙΦΕΡΕΙΑ!$A$2:$A$14,ΠΕΡΙΦΕΡΕΙΑ!$B$2:$B$14)</f>
        <v>Μερική</v>
      </c>
      <c r="J297">
        <f t="shared" si="32"/>
        <v>296</v>
      </c>
      <c r="K297" s="203" t="e">
        <f t="shared" si="29"/>
        <v>#NUM!</v>
      </c>
      <c r="L297" t="str">
        <f t="shared" si="30"/>
        <v/>
      </c>
      <c r="M297" t="str">
        <f t="shared" si="31"/>
        <v/>
      </c>
      <c r="N297" s="201" t="str">
        <f t="shared" si="33"/>
        <v/>
      </c>
      <c r="O297" s="201" t="str">
        <f t="shared" si="34"/>
        <v/>
      </c>
    </row>
    <row r="298" spans="1:15" x14ac:dyDescent="0.3">
      <c r="A298" s="203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201" t="s">
        <v>876</v>
      </c>
      <c r="G298" s="201">
        <v>14460</v>
      </c>
      <c r="H298" t="str">
        <f>_xlfn.IFNA(INDEX(DimosNaiOxi,MATCH(ΤΚ!E298,DimosNai,0)),"")</f>
        <v>ΝΑΙ</v>
      </c>
      <c r="I298" t="str">
        <f>LOOKUP(B298,ΠΕΡΙΦΕΡΕΙΑ!$A$2:$A$14,ΠΕΡΙΦΕΡΕΙΑ!$B$2:$B$14)</f>
        <v>Μερική</v>
      </c>
      <c r="J298">
        <f t="shared" si="32"/>
        <v>297</v>
      </c>
      <c r="K298" s="203" t="e">
        <f t="shared" si="29"/>
        <v>#NUM!</v>
      </c>
      <c r="L298" t="str">
        <f t="shared" si="30"/>
        <v/>
      </c>
      <c r="M298" t="str">
        <f t="shared" si="31"/>
        <v/>
      </c>
      <c r="N298" s="201" t="str">
        <f t="shared" si="33"/>
        <v/>
      </c>
      <c r="O298" s="201" t="str">
        <f t="shared" si="34"/>
        <v/>
      </c>
    </row>
    <row r="299" spans="1:15" x14ac:dyDescent="0.3">
      <c r="A299" s="203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201" t="s">
        <v>877</v>
      </c>
      <c r="G299" s="201">
        <v>14478</v>
      </c>
      <c r="H299" t="str">
        <f>_xlfn.IFNA(INDEX(DimosNaiOxi,MATCH(ΤΚ!E299,DimosNai,0)),"")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203" t="e">
        <f t="shared" si="29"/>
        <v>#NUM!</v>
      </c>
      <c r="L299" t="str">
        <f t="shared" si="30"/>
        <v/>
      </c>
      <c r="M299" t="str">
        <f t="shared" si="31"/>
        <v/>
      </c>
      <c r="N299" s="201" t="str">
        <f t="shared" si="33"/>
        <v/>
      </c>
      <c r="O299" s="201" t="str">
        <f t="shared" si="34"/>
        <v/>
      </c>
    </row>
    <row r="300" spans="1:15" x14ac:dyDescent="0.3">
      <c r="A300" s="203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201" t="s">
        <v>878</v>
      </c>
      <c r="G300" s="201">
        <v>14500</v>
      </c>
      <c r="H300" t="str">
        <f>_xlfn.IFNA(INDEX(DimosNaiOxi,MATCH(ΤΚ!E300,DimosNai,0)),"")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203" t="e">
        <f t="shared" si="29"/>
        <v>#NUM!</v>
      </c>
      <c r="L300" t="str">
        <f t="shared" si="30"/>
        <v/>
      </c>
      <c r="M300" t="str">
        <f t="shared" si="31"/>
        <v/>
      </c>
      <c r="N300" s="201" t="str">
        <f t="shared" si="33"/>
        <v/>
      </c>
      <c r="O300" s="201" t="str">
        <f t="shared" si="34"/>
        <v/>
      </c>
    </row>
    <row r="301" spans="1:15" x14ac:dyDescent="0.3">
      <c r="A301" s="203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201" t="s">
        <v>879</v>
      </c>
      <c r="G301" s="201">
        <v>14504</v>
      </c>
      <c r="H301" t="str">
        <f>_xlfn.IFNA(INDEX(DimosNaiOxi,MATCH(ΤΚ!E301,DimosNai,0)),"")</f>
        <v>ΝΑΙ</v>
      </c>
      <c r="I301" t="str">
        <f>LOOKUP(B301,ΠΕΡΙΦΕΡΕΙΑ!$A$2:$A$14,ΠΕΡΙΦΕΡΕΙΑ!$B$2:$B$14)</f>
        <v>Μερική</v>
      </c>
      <c r="J301">
        <f t="shared" si="32"/>
        <v>300</v>
      </c>
      <c r="K301" s="203" t="e">
        <f t="shared" si="29"/>
        <v>#NUM!</v>
      </c>
      <c r="L301" t="str">
        <f t="shared" si="30"/>
        <v/>
      </c>
      <c r="M301" t="str">
        <f t="shared" si="31"/>
        <v/>
      </c>
      <c r="N301" s="201" t="str">
        <f t="shared" si="33"/>
        <v/>
      </c>
      <c r="O301" s="201" t="str">
        <f t="shared" si="34"/>
        <v/>
      </c>
    </row>
    <row r="302" spans="1:15" x14ac:dyDescent="0.3">
      <c r="A302" s="203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201" t="s">
        <v>880</v>
      </c>
      <c r="G302" s="201">
        <v>13940</v>
      </c>
      <c r="H302" t="str">
        <f>_xlfn.IFNA(INDEX(DimosNaiOxi,MATCH(ΤΚ!E302,DimosNai,0)),"")</f>
        <v>ΝΑΙ</v>
      </c>
      <c r="I302" t="str">
        <f>LOOKUP(B302,ΠΕΡΙΦΕΡΕΙΑ!$A$2:$A$14,ΠΕΡΙΦΕΡΕΙΑ!$B$2:$B$14)</f>
        <v>Μερική</v>
      </c>
      <c r="J302">
        <f t="shared" si="32"/>
        <v>301</v>
      </c>
      <c r="K302" s="203" t="e">
        <f t="shared" si="29"/>
        <v>#NUM!</v>
      </c>
      <c r="L302" t="str">
        <f t="shared" si="30"/>
        <v/>
      </c>
      <c r="M302" t="str">
        <f t="shared" si="31"/>
        <v/>
      </c>
      <c r="N302" s="201" t="str">
        <f t="shared" si="33"/>
        <v/>
      </c>
      <c r="O302" s="201" t="str">
        <f t="shared" si="34"/>
        <v/>
      </c>
    </row>
    <row r="303" spans="1:15" x14ac:dyDescent="0.3">
      <c r="A303" s="203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201" t="s">
        <v>881</v>
      </c>
      <c r="G303" s="201">
        <v>13954</v>
      </c>
      <c r="H303" t="str">
        <f>_xlfn.IFNA(INDEX(DimosNaiOxi,MATCH(ΤΚ!E303,DimosNai,0)),"")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203" t="e">
        <f t="shared" si="29"/>
        <v>#NUM!</v>
      </c>
      <c r="L303" t="str">
        <f t="shared" si="30"/>
        <v/>
      </c>
      <c r="M303" t="str">
        <f t="shared" si="31"/>
        <v/>
      </c>
      <c r="N303" s="201" t="str">
        <f t="shared" si="33"/>
        <v/>
      </c>
      <c r="O303" s="201" t="str">
        <f t="shared" si="34"/>
        <v/>
      </c>
    </row>
    <row r="304" spans="1:15" x14ac:dyDescent="0.3">
      <c r="A304" s="203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201" t="s">
        <v>882</v>
      </c>
      <c r="G304" s="201">
        <v>13972</v>
      </c>
      <c r="H304" t="str">
        <f>_xlfn.IFNA(INDEX(DimosNaiOxi,MATCH(ΤΚ!E304,DimosNai,0)),"")</f>
        <v>ΝΑΙ</v>
      </c>
      <c r="I304" t="str">
        <f>LOOKUP(B304,ΠΕΡΙΦΕΡΕΙΑ!$A$2:$A$14,ΠΕΡΙΦΕΡΕΙΑ!$B$2:$B$14)</f>
        <v>Μερική</v>
      </c>
      <c r="J304">
        <f t="shared" si="32"/>
        <v>303</v>
      </c>
      <c r="K304" s="203" t="e">
        <f t="shared" si="29"/>
        <v>#NUM!</v>
      </c>
      <c r="L304" t="str">
        <f t="shared" si="30"/>
        <v/>
      </c>
      <c r="M304" t="str">
        <f t="shared" si="31"/>
        <v/>
      </c>
      <c r="N304" s="201" t="str">
        <f t="shared" si="33"/>
        <v/>
      </c>
      <c r="O304" s="201" t="str">
        <f t="shared" si="34"/>
        <v/>
      </c>
    </row>
    <row r="305" spans="1:15" x14ac:dyDescent="0.3">
      <c r="A305" s="203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201" t="s">
        <v>883</v>
      </c>
      <c r="G305" s="201">
        <v>14052</v>
      </c>
      <c r="H305" t="str">
        <f>_xlfn.IFNA(INDEX(DimosNaiOxi,MATCH(ΤΚ!E305,DimosNai,0)),"")</f>
        <v>ΝΑΙ</v>
      </c>
      <c r="I305" t="str">
        <f>LOOKUP(B305,ΠΕΡΙΦΕΡΕΙΑ!$A$2:$A$14,ΠΕΡΙΦΕΡΕΙΑ!$B$2:$B$14)</f>
        <v>Μερική</v>
      </c>
      <c r="J305">
        <f t="shared" si="32"/>
        <v>304</v>
      </c>
      <c r="K305" s="203" t="e">
        <f t="shared" si="29"/>
        <v>#NUM!</v>
      </c>
      <c r="L305" t="str">
        <f t="shared" si="30"/>
        <v/>
      </c>
      <c r="M305" t="str">
        <f t="shared" si="31"/>
        <v/>
      </c>
      <c r="N305" s="201" t="str">
        <f t="shared" si="33"/>
        <v/>
      </c>
      <c r="O305" s="201" t="str">
        <f t="shared" si="34"/>
        <v/>
      </c>
    </row>
    <row r="306" spans="1:15" x14ac:dyDescent="0.3">
      <c r="A306" s="203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201" t="s">
        <v>884</v>
      </c>
      <c r="G306" s="201">
        <v>14064</v>
      </c>
      <c r="H306" t="str">
        <f>_xlfn.IFNA(INDEX(DimosNaiOxi,MATCH(ΤΚ!E306,DimosNai,0)),"")</f>
        <v>ΝΑΙ</v>
      </c>
      <c r="I306" t="str">
        <f>LOOKUP(B306,ΠΕΡΙΦΕΡΕΙΑ!$A$2:$A$14,ΠΕΡΙΦΕΡΕΙΑ!$B$2:$B$14)</f>
        <v>Μερική</v>
      </c>
      <c r="J306">
        <f t="shared" si="32"/>
        <v>305</v>
      </c>
      <c r="K306" s="203" t="e">
        <f t="shared" si="29"/>
        <v>#NUM!</v>
      </c>
      <c r="L306" t="str">
        <f t="shared" si="30"/>
        <v/>
      </c>
      <c r="M306" t="str">
        <f t="shared" si="31"/>
        <v/>
      </c>
      <c r="N306" s="201" t="str">
        <f t="shared" si="33"/>
        <v/>
      </c>
      <c r="O306" s="201" t="str">
        <f t="shared" si="34"/>
        <v/>
      </c>
    </row>
    <row r="307" spans="1:15" x14ac:dyDescent="0.3">
      <c r="A307" s="203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201" t="s">
        <v>885</v>
      </c>
      <c r="G307" s="201">
        <v>14056</v>
      </c>
      <c r="H307" t="str">
        <f>_xlfn.IFNA(INDEX(DimosNaiOxi,MATCH(ΤΚ!E307,DimosNai,0)),"")</f>
        <v>ΝΑΙ</v>
      </c>
      <c r="I307" t="str">
        <f>LOOKUP(B307,ΠΕΡΙΦΕΡΕΙΑ!$A$2:$A$14,ΠΕΡΙΦΕΡΕΙΑ!$B$2:$B$14)</f>
        <v>Μερική</v>
      </c>
      <c r="J307">
        <f t="shared" si="32"/>
        <v>306</v>
      </c>
      <c r="K307" s="203" t="e">
        <f t="shared" si="29"/>
        <v>#NUM!</v>
      </c>
      <c r="L307" t="str">
        <f t="shared" si="30"/>
        <v/>
      </c>
      <c r="M307" t="str">
        <f t="shared" si="31"/>
        <v/>
      </c>
      <c r="N307" s="201" t="str">
        <f t="shared" si="33"/>
        <v/>
      </c>
      <c r="O307" s="201" t="str">
        <f t="shared" si="34"/>
        <v/>
      </c>
    </row>
    <row r="308" spans="1:15" x14ac:dyDescent="0.3">
      <c r="A308" s="203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201" t="s">
        <v>886</v>
      </c>
      <c r="G308" s="201">
        <v>14066</v>
      </c>
      <c r="H308" t="str">
        <f>_xlfn.IFNA(INDEX(DimosNaiOxi,MATCH(ΤΚ!E308,DimosNai,0)),"")</f>
        <v>ΝΑΙ</v>
      </c>
      <c r="I308" t="str">
        <f>LOOKUP(B308,ΠΕΡΙΦΕΡΕΙΑ!$A$2:$A$14,ΠΕΡΙΦΕΡΕΙΑ!$B$2:$B$14)</f>
        <v>Μερική</v>
      </c>
      <c r="J308">
        <f t="shared" si="32"/>
        <v>307</v>
      </c>
      <c r="K308" s="203" t="e">
        <f t="shared" si="29"/>
        <v>#NUM!</v>
      </c>
      <c r="L308" t="str">
        <f t="shared" si="30"/>
        <v/>
      </c>
      <c r="M308" t="str">
        <f t="shared" si="31"/>
        <v/>
      </c>
      <c r="N308" s="201" t="str">
        <f t="shared" si="33"/>
        <v/>
      </c>
      <c r="O308" s="201" t="str">
        <f t="shared" si="34"/>
        <v/>
      </c>
    </row>
    <row r="309" spans="1:15" x14ac:dyDescent="0.3">
      <c r="A309" s="203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201" t="s">
        <v>887</v>
      </c>
      <c r="G309" s="201">
        <v>14078</v>
      </c>
      <c r="H309" t="str">
        <f>_xlfn.IFNA(INDEX(DimosNaiOxi,MATCH(ΤΚ!E309,DimosNai,0)),"")</f>
        <v>ΝΑΙ</v>
      </c>
      <c r="I309" t="str">
        <f>LOOKUP(B309,ΠΕΡΙΦΕΡΕΙΑ!$A$2:$A$14,ΠΕΡΙΦΕΡΕΙΑ!$B$2:$B$14)</f>
        <v>Μερική</v>
      </c>
      <c r="J309">
        <f t="shared" si="32"/>
        <v>308</v>
      </c>
      <c r="K309" s="203" t="e">
        <f t="shared" si="29"/>
        <v>#NUM!</v>
      </c>
      <c r="L309" t="str">
        <f t="shared" si="30"/>
        <v/>
      </c>
      <c r="M309" t="str">
        <f t="shared" si="31"/>
        <v/>
      </c>
      <c r="N309" s="201" t="str">
        <f t="shared" si="33"/>
        <v/>
      </c>
      <c r="O309" s="201" t="str">
        <f t="shared" si="34"/>
        <v/>
      </c>
    </row>
    <row r="310" spans="1:15" x14ac:dyDescent="0.3">
      <c r="A310" s="203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201" t="s">
        <v>888</v>
      </c>
      <c r="G310" s="201">
        <v>14094</v>
      </c>
      <c r="H310" t="str">
        <f>_xlfn.IFNA(INDEX(DimosNaiOxi,MATCH(ΤΚ!E310,DimosNai,0)),"")</f>
        <v>ΝΑΙ</v>
      </c>
      <c r="I310" t="str">
        <f>LOOKUP(B310,ΠΕΡΙΦΕΡΕΙΑ!$A$2:$A$14,ΠΕΡΙΦΕΡΕΙΑ!$B$2:$B$14)</f>
        <v>Μερική</v>
      </c>
      <c r="J310">
        <f t="shared" si="32"/>
        <v>309</v>
      </c>
      <c r="K310" s="203" t="e">
        <f t="shared" si="29"/>
        <v>#NUM!</v>
      </c>
      <c r="L310" t="str">
        <f t="shared" si="30"/>
        <v/>
      </c>
      <c r="M310" t="str">
        <f t="shared" si="31"/>
        <v/>
      </c>
      <c r="N310" s="201" t="str">
        <f t="shared" si="33"/>
        <v/>
      </c>
      <c r="O310" s="201" t="str">
        <f t="shared" si="34"/>
        <v/>
      </c>
    </row>
    <row r="311" spans="1:15" x14ac:dyDescent="0.3">
      <c r="A311" s="203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201" t="s">
        <v>889</v>
      </c>
      <c r="G311" s="201">
        <v>14132</v>
      </c>
      <c r="H311" t="str">
        <f>_xlfn.IFNA(INDEX(DimosNaiOxi,MATCH(ΤΚ!E311,DimosNai,0)),"")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203" t="e">
        <f t="shared" si="29"/>
        <v>#NUM!</v>
      </c>
      <c r="L311" t="str">
        <f t="shared" si="30"/>
        <v/>
      </c>
      <c r="M311" t="str">
        <f t="shared" si="31"/>
        <v/>
      </c>
      <c r="N311" s="201" t="str">
        <f t="shared" si="33"/>
        <v/>
      </c>
      <c r="O311" s="201" t="str">
        <f t="shared" si="34"/>
        <v/>
      </c>
    </row>
    <row r="312" spans="1:15" x14ac:dyDescent="0.3">
      <c r="A312" s="203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201" t="s">
        <v>890</v>
      </c>
      <c r="G312" s="201">
        <v>14152</v>
      </c>
      <c r="H312" t="str">
        <f>_xlfn.IFNA(INDEX(DimosNaiOxi,MATCH(ΤΚ!E312,DimosNai,0)),"")</f>
        <v>ΝΑΙ</v>
      </c>
      <c r="I312" t="str">
        <f>LOOKUP(B312,ΠΕΡΙΦΕΡΕΙΑ!$A$2:$A$14,ΠΕΡΙΦΕΡΕΙΑ!$B$2:$B$14)</f>
        <v>Μερική</v>
      </c>
      <c r="J312">
        <f t="shared" si="32"/>
        <v>311</v>
      </c>
      <c r="K312" s="203" t="e">
        <f t="shared" si="29"/>
        <v>#NUM!</v>
      </c>
      <c r="L312" t="str">
        <f t="shared" si="30"/>
        <v/>
      </c>
      <c r="M312" t="str">
        <f t="shared" si="31"/>
        <v/>
      </c>
      <c r="N312" s="201" t="str">
        <f t="shared" si="33"/>
        <v/>
      </c>
      <c r="O312" s="201" t="str">
        <f t="shared" si="34"/>
        <v/>
      </c>
    </row>
    <row r="313" spans="1:15" x14ac:dyDescent="0.3">
      <c r="A313" s="203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201" t="s">
        <v>891</v>
      </c>
      <c r="G313" s="201">
        <v>14194</v>
      </c>
      <c r="H313" t="str">
        <f>_xlfn.IFNA(INDEX(DimosNaiOxi,MATCH(ΤΚ!E313,DimosNai,0)),"")</f>
        <v>ΝΑΙ</v>
      </c>
      <c r="I313" t="str">
        <f>LOOKUP(B313,ΠΕΡΙΦΕΡΕΙΑ!$A$2:$A$14,ΠΕΡΙΦΕΡΕΙΑ!$B$2:$B$14)</f>
        <v>Μερική</v>
      </c>
      <c r="J313">
        <f t="shared" si="32"/>
        <v>312</v>
      </c>
      <c r="K313" s="203" t="e">
        <f t="shared" si="29"/>
        <v>#NUM!</v>
      </c>
      <c r="L313" t="str">
        <f t="shared" si="30"/>
        <v/>
      </c>
      <c r="M313" t="str">
        <f t="shared" si="31"/>
        <v/>
      </c>
      <c r="N313" s="201" t="str">
        <f t="shared" si="33"/>
        <v/>
      </c>
      <c r="O313" s="201" t="str">
        <f t="shared" si="34"/>
        <v/>
      </c>
    </row>
    <row r="314" spans="1:15" x14ac:dyDescent="0.3">
      <c r="A314" s="203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201" t="s">
        <v>892</v>
      </c>
      <c r="G314" s="201">
        <v>14196</v>
      </c>
      <c r="H314" t="str">
        <f>_xlfn.IFNA(INDEX(DimosNaiOxi,MATCH(ΤΚ!E314,DimosNai,0)),"")</f>
        <v>ΝΑΙ</v>
      </c>
      <c r="I314" t="str">
        <f>LOOKUP(B314,ΠΕΡΙΦΕΡΕΙΑ!$A$2:$A$14,ΠΕΡΙΦΕΡΕΙΑ!$B$2:$B$14)</f>
        <v>Μερική</v>
      </c>
      <c r="J314">
        <f t="shared" si="32"/>
        <v>313</v>
      </c>
      <c r="K314" s="203" t="e">
        <f t="shared" si="29"/>
        <v>#NUM!</v>
      </c>
      <c r="L314" t="str">
        <f t="shared" si="30"/>
        <v/>
      </c>
      <c r="M314" t="str">
        <f t="shared" si="31"/>
        <v/>
      </c>
      <c r="N314" s="201" t="str">
        <f t="shared" si="33"/>
        <v/>
      </c>
      <c r="O314" s="201" t="str">
        <f t="shared" si="34"/>
        <v/>
      </c>
    </row>
    <row r="315" spans="1:15" x14ac:dyDescent="0.3">
      <c r="A315" s="203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201" t="s">
        <v>893</v>
      </c>
      <c r="G315" s="201">
        <v>14234</v>
      </c>
      <c r="H315" t="str">
        <f>_xlfn.IFNA(INDEX(DimosNaiOxi,MATCH(ΤΚ!E315,DimosNai,0)),"")</f>
        <v>ΝΑΙ</v>
      </c>
      <c r="I315" t="str">
        <f>LOOKUP(B315,ΠΕΡΙΦΕΡΕΙΑ!$A$2:$A$14,ΠΕΡΙΦΕΡΕΙΑ!$B$2:$B$14)</f>
        <v>Μερική</v>
      </c>
      <c r="J315">
        <f t="shared" si="32"/>
        <v>314</v>
      </c>
      <c r="K315" s="203" t="e">
        <f t="shared" si="29"/>
        <v>#NUM!</v>
      </c>
      <c r="L315" t="str">
        <f t="shared" si="30"/>
        <v/>
      </c>
      <c r="M315" t="str">
        <f t="shared" si="31"/>
        <v/>
      </c>
      <c r="N315" s="201" t="str">
        <f t="shared" si="33"/>
        <v/>
      </c>
      <c r="O315" s="201" t="str">
        <f t="shared" si="34"/>
        <v/>
      </c>
    </row>
    <row r="316" spans="1:15" x14ac:dyDescent="0.3">
      <c r="A316" s="203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201" t="s">
        <v>894</v>
      </c>
      <c r="G316" s="201">
        <v>14236</v>
      </c>
      <c r="H316" t="str">
        <f>_xlfn.IFNA(INDEX(DimosNaiOxi,MATCH(ΤΚ!E316,DimosNai,0)),"")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203" t="e">
        <f t="shared" si="29"/>
        <v>#NUM!</v>
      </c>
      <c r="L316" t="str">
        <f t="shared" si="30"/>
        <v/>
      </c>
      <c r="M316" t="str">
        <f t="shared" si="31"/>
        <v/>
      </c>
      <c r="N316" s="201" t="str">
        <f t="shared" si="33"/>
        <v/>
      </c>
      <c r="O316" s="201" t="str">
        <f t="shared" si="34"/>
        <v/>
      </c>
    </row>
    <row r="317" spans="1:15" x14ac:dyDescent="0.3">
      <c r="A317" s="203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201" t="s">
        <v>895</v>
      </c>
      <c r="G317" s="201">
        <v>14250</v>
      </c>
      <c r="H317" t="str">
        <f>_xlfn.IFNA(INDEX(DimosNaiOxi,MATCH(ΤΚ!E317,DimosNai,0)),"")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203" t="e">
        <f t="shared" si="29"/>
        <v>#NUM!</v>
      </c>
      <c r="L317" t="str">
        <f t="shared" si="30"/>
        <v/>
      </c>
      <c r="M317" t="str">
        <f t="shared" si="31"/>
        <v/>
      </c>
      <c r="N317" s="201" t="str">
        <f t="shared" si="33"/>
        <v/>
      </c>
      <c r="O317" s="201" t="str">
        <f t="shared" si="34"/>
        <v/>
      </c>
    </row>
    <row r="318" spans="1:15" x14ac:dyDescent="0.3">
      <c r="A318" s="203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201" t="s">
        <v>896</v>
      </c>
      <c r="G318" s="201">
        <v>14242</v>
      </c>
      <c r="H318" t="str">
        <f>_xlfn.IFNA(INDEX(DimosNaiOxi,MATCH(ΤΚ!E318,DimosNai,0)),"")</f>
        <v>ΝΑΙ</v>
      </c>
      <c r="I318" t="str">
        <f>LOOKUP(B318,ΠΕΡΙΦΕΡΕΙΑ!$A$2:$A$14,ΠΕΡΙΦΕΡΕΙΑ!$B$2:$B$14)</f>
        <v>Μερική</v>
      </c>
      <c r="J318">
        <f t="shared" si="32"/>
        <v>317</v>
      </c>
      <c r="K318" s="203" t="e">
        <f t="shared" si="29"/>
        <v>#NUM!</v>
      </c>
      <c r="L318" t="str">
        <f t="shared" si="30"/>
        <v/>
      </c>
      <c r="M318" t="str">
        <f t="shared" si="31"/>
        <v/>
      </c>
      <c r="N318" s="201" t="str">
        <f t="shared" si="33"/>
        <v/>
      </c>
      <c r="O318" s="201" t="str">
        <f t="shared" si="34"/>
        <v/>
      </c>
    </row>
    <row r="319" spans="1:15" x14ac:dyDescent="0.3">
      <c r="A319" s="203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201" t="s">
        <v>897</v>
      </c>
      <c r="G319" s="201">
        <v>14262</v>
      </c>
      <c r="H319" t="str">
        <f>_xlfn.IFNA(INDEX(DimosNaiOxi,MATCH(ΤΚ!E319,DimosNai,0)),"")</f>
        <v>ΝΑΙ</v>
      </c>
      <c r="I319" t="str">
        <f>LOOKUP(B319,ΠΕΡΙΦΕΡΕΙΑ!$A$2:$A$14,ΠΕΡΙΦΕΡΕΙΑ!$B$2:$B$14)</f>
        <v>Μερική</v>
      </c>
      <c r="J319">
        <f t="shared" si="32"/>
        <v>318</v>
      </c>
      <c r="K319" s="203" t="e">
        <f t="shared" si="29"/>
        <v>#NUM!</v>
      </c>
      <c r="L319" t="str">
        <f t="shared" si="30"/>
        <v/>
      </c>
      <c r="M319" t="str">
        <f t="shared" si="31"/>
        <v/>
      </c>
      <c r="N319" s="201" t="str">
        <f t="shared" si="33"/>
        <v/>
      </c>
      <c r="O319" s="201" t="str">
        <f t="shared" si="34"/>
        <v/>
      </c>
    </row>
    <row r="320" spans="1:15" x14ac:dyDescent="0.3">
      <c r="A320" s="203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201" t="s">
        <v>898</v>
      </c>
      <c r="G320" s="201">
        <v>14276</v>
      </c>
      <c r="H320" t="str">
        <f>_xlfn.IFNA(INDEX(DimosNaiOxi,MATCH(ΤΚ!E320,DimosNai,0)),"")</f>
        <v>ΝΑΙ</v>
      </c>
      <c r="I320" t="str">
        <f>LOOKUP(B320,ΠΕΡΙΦΕΡΕΙΑ!$A$2:$A$14,ΠΕΡΙΦΕΡΕΙΑ!$B$2:$B$14)</f>
        <v>Μερική</v>
      </c>
      <c r="J320">
        <f t="shared" si="32"/>
        <v>319</v>
      </c>
      <c r="K320" s="203" t="e">
        <f t="shared" si="29"/>
        <v>#NUM!</v>
      </c>
      <c r="L320" t="str">
        <f t="shared" si="30"/>
        <v/>
      </c>
      <c r="M320" t="str">
        <f t="shared" si="31"/>
        <v/>
      </c>
      <c r="N320" s="201" t="str">
        <f t="shared" si="33"/>
        <v/>
      </c>
      <c r="O320" s="201" t="str">
        <f t="shared" si="34"/>
        <v/>
      </c>
    </row>
    <row r="321" spans="1:15" x14ac:dyDescent="0.3">
      <c r="A321" s="203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201" t="s">
        <v>899</v>
      </c>
      <c r="G321" s="201">
        <v>14308</v>
      </c>
      <c r="H321" t="str">
        <f>_xlfn.IFNA(INDEX(DimosNaiOxi,MATCH(ΤΚ!E321,DimosNai,0)),"")</f>
        <v>ΝΑΙ</v>
      </c>
      <c r="I321" t="str">
        <f>LOOKUP(B321,ΠΕΡΙΦΕΡΕΙΑ!$A$2:$A$14,ΠΕΡΙΦΕΡΕΙΑ!$B$2:$B$14)</f>
        <v>Μερική</v>
      </c>
      <c r="J321">
        <f t="shared" si="32"/>
        <v>320</v>
      </c>
      <c r="K321" s="203" t="e">
        <f t="shared" si="29"/>
        <v>#NUM!</v>
      </c>
      <c r="L321" t="str">
        <f t="shared" si="30"/>
        <v/>
      </c>
      <c r="M321" t="str">
        <f t="shared" si="31"/>
        <v/>
      </c>
      <c r="N321" s="201" t="str">
        <f t="shared" si="33"/>
        <v/>
      </c>
      <c r="O321" s="201" t="str">
        <f t="shared" si="34"/>
        <v/>
      </c>
    </row>
    <row r="322" spans="1:15" x14ac:dyDescent="0.3">
      <c r="A322" s="203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201" t="s">
        <v>900</v>
      </c>
      <c r="G322" s="201">
        <v>14356</v>
      </c>
      <c r="H322" t="str">
        <f>_xlfn.IFNA(INDEX(DimosNaiOxi,MATCH(ΤΚ!E322,DimosNai,0)),"")</f>
        <v>ΝΑΙ</v>
      </c>
      <c r="I322" t="str">
        <f>LOOKUP(B322,ΠΕΡΙΦΕΡΕΙΑ!$A$2:$A$14,ΠΕΡΙΦΕΡΕΙΑ!$B$2:$B$14)</f>
        <v>Μερική</v>
      </c>
      <c r="J322">
        <f t="shared" si="32"/>
        <v>321</v>
      </c>
      <c r="K322" s="203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201" t="str">
        <f t="shared" si="33"/>
        <v/>
      </c>
      <c r="O322" s="201" t="str">
        <f t="shared" si="34"/>
        <v/>
      </c>
    </row>
    <row r="323" spans="1:15" x14ac:dyDescent="0.3">
      <c r="A323" s="203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201" t="s">
        <v>901</v>
      </c>
      <c r="G323" s="201">
        <v>14474</v>
      </c>
      <c r="H323" t="str">
        <f>_xlfn.IFNA(INDEX(DimosNaiOxi,MATCH(ΤΚ!E323,DimosNai,0)),"")</f>
        <v/>
      </c>
      <c r="I323" t="str">
        <f>LOOKUP(B323,ΠΕΡΙΦΕΡΕΙΑ!$A$2:$A$14,ΠΕΡΙΦΕΡΕΙΑ!$B$2:$B$14)</f>
        <v>Μερική</v>
      </c>
      <c r="J323" t="str">
        <f t="shared" ref="J323:J326" si="38">IF(OR(AND(I323="Μερική",H323="ΝΑΙ"),I323="Ολική"),A323,"")</f>
        <v/>
      </c>
      <c r="K323" s="203" t="e">
        <f t="shared" si="36"/>
        <v>#NUM!</v>
      </c>
      <c r="L323" t="str">
        <f t="shared" si="37"/>
        <v/>
      </c>
      <c r="M323" t="str">
        <f t="shared" si="31"/>
        <v/>
      </c>
      <c r="N323" s="201" t="str">
        <f t="shared" ref="N323:N326" si="39">IF(ISNUMBER(K323),LOOKUP(K323,A:A,G:G),"")</f>
        <v/>
      </c>
      <c r="O323" s="201" t="str">
        <f t="shared" ref="O323:O326" si="40">IF(ISNUMBER(K323),LOOKUP(K323,A:A,F:F),"")</f>
        <v/>
      </c>
    </row>
    <row r="324" spans="1:15" x14ac:dyDescent="0.3">
      <c r="A324" s="203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201" t="s">
        <v>902</v>
      </c>
      <c r="G324" s="201">
        <v>14484</v>
      </c>
      <c r="H324" t="str">
        <f>_xlfn.IFNA(INDEX(DimosNaiOxi,MATCH(ΤΚ!E324,DimosNai,0)),"")</f>
        <v>ΝΑΙ</v>
      </c>
      <c r="I324" t="str">
        <f>LOOKUP(B324,ΠΕΡΙΦΕΡΕΙΑ!$A$2:$A$14,ΠΕΡΙΦΕΡΕΙΑ!$B$2:$B$14)</f>
        <v>Μερική</v>
      </c>
      <c r="J324">
        <f t="shared" si="38"/>
        <v>323</v>
      </c>
      <c r="K324" s="203" t="e">
        <f t="shared" si="36"/>
        <v>#NUM!</v>
      </c>
      <c r="L324" t="str">
        <f t="shared" si="37"/>
        <v/>
      </c>
      <c r="M324" t="str">
        <f t="shared" si="31"/>
        <v/>
      </c>
      <c r="N324" s="201" t="str">
        <f t="shared" si="39"/>
        <v/>
      </c>
      <c r="O324" s="201" t="str">
        <f t="shared" si="40"/>
        <v/>
      </c>
    </row>
    <row r="325" spans="1:15" x14ac:dyDescent="0.3">
      <c r="A325" s="203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201" t="s">
        <v>903</v>
      </c>
      <c r="G325" s="201">
        <v>14444</v>
      </c>
      <c r="H325" t="str">
        <f>_xlfn.IFNA(INDEX(DimosNaiOxi,MATCH(ΤΚ!E325,DimosNai,0)),"")</f>
        <v/>
      </c>
      <c r="I325" t="str">
        <f>LOOKUP(B325,ΠΕΡΙΦΕΡΕΙΑ!$A$2:$A$14,ΠΕΡΙΦΕΡΕΙΑ!$B$2:$B$14)</f>
        <v>Μερική</v>
      </c>
      <c r="J325" t="str">
        <f t="shared" si="38"/>
        <v/>
      </c>
      <c r="K325" s="203" t="e">
        <f t="shared" si="36"/>
        <v>#NUM!</v>
      </c>
      <c r="L325" t="str">
        <f t="shared" si="37"/>
        <v/>
      </c>
      <c r="M325" t="str">
        <f t="shared" si="31"/>
        <v/>
      </c>
      <c r="N325" s="201" t="str">
        <f t="shared" si="39"/>
        <v/>
      </c>
      <c r="O325" s="201" t="str">
        <f t="shared" si="40"/>
        <v/>
      </c>
    </row>
    <row r="326" spans="1:15" x14ac:dyDescent="0.3">
      <c r="A326" s="203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201" t="s">
        <v>904</v>
      </c>
      <c r="G326" s="201">
        <v>14538</v>
      </c>
      <c r="H326" t="str">
        <f>_xlfn.IFNA(INDEX(DimosNaiOxi,MATCH(ΤΚ!E326,DimosNai,0)),"")</f>
        <v>ΝΑΙ</v>
      </c>
      <c r="I326" t="str">
        <f>LOOKUP(B326,ΠΕΡΙΦΕΡΕΙΑ!$A$2:$A$14,ΠΕΡΙΦΕΡΕΙΑ!$B$2:$B$14)</f>
        <v>Μερική</v>
      </c>
      <c r="J326">
        <f t="shared" si="38"/>
        <v>325</v>
      </c>
      <c r="K326" s="203" t="e">
        <f t="shared" si="36"/>
        <v>#NUM!</v>
      </c>
      <c r="L326" t="str">
        <f t="shared" si="37"/>
        <v/>
      </c>
      <c r="M326" t="str">
        <f t="shared" si="31"/>
        <v/>
      </c>
      <c r="N326" s="201" t="str">
        <f t="shared" si="39"/>
        <v/>
      </c>
      <c r="O326" s="201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 xr:uid="{00000000-0004-0000-0300-000000000000}"/>
    <hyperlink ref="D318" r:id="rId2" tooltip="Δήμος Λοκρών" display="http://www.dimosprofile.gr/media/dimos-lokron/" xr:uid="{00000000-0004-0000-0300-000001000000}"/>
    <hyperlink ref="D315" r:id="rId3" display="http://www.dimosprofile.gr/media/dimos-kymis/" xr:uid="{00000000-0004-0000-0300-000002000000}"/>
    <hyperlink ref="D314" r:id="rId4" tooltip="Δήμος Καρύστου" display="http://www.dimosprofile.gr/media/dimos-karistou/" xr:uid="{00000000-0004-0000-0300-000003000000}"/>
    <hyperlink ref="D311" r:id="rId5" display="http://www.dimosprofile.gr/media/dimos-thivas/" xr:uid="{00000000-0004-0000-0300-000004000000}"/>
    <hyperlink ref="D291" r:id="rId6" tooltip="Δήμος Μονεμβασιάς" display="http://www.dimosprofile.gr/media/dimos-monevasias/" xr:uid="{00000000-0004-0000-0300-000005000000}"/>
    <hyperlink ref="D294" r:id="rId7" display="http://www.dimosprofile.gr/media/dimos-notias-kinoyrias/" xr:uid="{00000000-0004-0000-0300-000006000000}"/>
    <hyperlink ref="D249" r:id="rId8" display="http://www.dimosprofile.gr/media/dimos-iou/" xr:uid="{00000000-0004-0000-0300-000007000000}"/>
    <hyperlink ref="D228" r:id="rId9" display="http://www.dimosprofile.gr/media/dimos-ierapetras/" xr:uid="{00000000-0004-0000-0300-000008000000}"/>
    <hyperlink ref="D190" r:id="rId10" tooltip="Δήμος Έδεσσας" display="http://www.dimosprofile.gr/media/dimos-edessas/" xr:uid="{00000000-0004-0000-0300-000009000000}"/>
    <hyperlink ref="D175" r:id="rId11" display="http://www.dimosprofile.gr/media/dimos-kerkyras/" xr:uid="{00000000-0004-0000-0300-00000A000000}"/>
    <hyperlink ref="D154" r:id="rId12" display="http://www.dimosprofile.gr/media/dimos-mouresiou/" xr:uid="{00000000-0004-0000-0300-00000B000000}"/>
    <hyperlink ref="D144" r:id="rId13" tooltip="Δήμος Πρέβεζας" display="http://www.dimosprofile.gr/media/dimos-prevezas/" xr:uid="{00000000-0004-0000-0300-00000C000000}"/>
    <hyperlink ref="D129" r:id="rId14" display="http://www.dimosprofile.gr/media/dimos-florinas/" xr:uid="{00000000-0004-0000-0300-00000D000000}"/>
    <hyperlink ref="D100" r:id="rId15" display="http://www.dimosprofile.gr/media/dimos-aigialias/" xr:uid="{00000000-0004-0000-0300-00000E000000}"/>
    <hyperlink ref="D113" r:id="rId16" display="http://www.dimosprofile.gr/media/dimos-nafpaktias/" xr:uid="{00000000-0004-0000-0300-00000F000000}"/>
    <hyperlink ref="D91" r:id="rId17" tooltip="Δήμος Ικαρίας" display="http://www.dimosprofile.gr/media/dimos-ikarias/" xr:uid="{00000000-0004-0000-0300-000010000000}"/>
    <hyperlink ref="D81" r:id="rId18" display="http://www.dimosprofile.gr/media/dimos-spetson/" xr:uid="{00000000-0004-0000-0300-000011000000}"/>
    <hyperlink ref="D21" r:id="rId19" tooltip="Δήμος Σαμοθράκης" display="http://www.dimosprofile.gr/media/dimos-samothrakis/" xr:uid="{00000000-0004-0000-0300-000012000000}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15"/>
  <sheetViews>
    <sheetView workbookViewId="0">
      <selection activeCell="B2" sqref="B2"/>
    </sheetView>
  </sheetViews>
  <sheetFormatPr defaultColWidth="0" defaultRowHeight="14.4" zeroHeight="1" x14ac:dyDescent="0.3"/>
  <cols>
    <col min="1" max="2" width="59.6640625" customWidth="1"/>
    <col min="3" max="3" width="21.109375" hidden="1" customWidth="1"/>
    <col min="4" max="4" width="16.109375" style="205" hidden="1" customWidth="1"/>
    <col min="5" max="5" width="24.109375" style="205" hidden="1" customWidth="1"/>
    <col min="6" max="6" width="21.109375" style="205" hidden="1" customWidth="1"/>
    <col min="7" max="7" width="18.6640625" style="205" hidden="1" customWidth="1"/>
    <col min="8" max="8" width="20.88671875" hidden="1" customWidth="1"/>
    <col min="9" max="9" width="16.109375" hidden="1" customWidth="1"/>
    <col min="10" max="10" width="18" hidden="1" customWidth="1"/>
    <col min="11" max="11" width="17.33203125" hidden="1" customWidth="1"/>
    <col min="12" max="12" width="20.5546875" hidden="1" customWidth="1"/>
    <col min="13" max="16384" width="9.109375" hidden="1"/>
  </cols>
  <sheetData>
    <row r="1" spans="1:12" ht="58.2" thickBot="1" x14ac:dyDescent="0.35">
      <c r="A1" s="196" t="s">
        <v>929</v>
      </c>
      <c r="B1" s="196" t="s">
        <v>930</v>
      </c>
      <c r="C1" s="205" t="s">
        <v>907</v>
      </c>
      <c r="D1" s="206" t="s">
        <v>909</v>
      </c>
      <c r="E1" s="206" t="s">
        <v>910</v>
      </c>
      <c r="F1" s="205" t="s">
        <v>911</v>
      </c>
      <c r="G1" s="205" t="s">
        <v>912</v>
      </c>
      <c r="H1" s="207" t="s">
        <v>908</v>
      </c>
      <c r="I1" s="208" t="s">
        <v>913</v>
      </c>
      <c r="J1" s="208" t="s">
        <v>914</v>
      </c>
      <c r="K1" s="208" t="s">
        <v>915</v>
      </c>
      <c r="L1" s="208" t="s">
        <v>916</v>
      </c>
    </row>
    <row r="2" spans="1:12" ht="15" thickTop="1" x14ac:dyDescent="0.3">
      <c r="A2" s="197"/>
      <c r="B2" s="197"/>
      <c r="C2" s="205" t="str">
        <f>IF(A2="","",A2&amp;",")</f>
        <v/>
      </c>
      <c r="D2" s="205" t="str">
        <f t="shared" ref="D2:D15" si="0">_xlfn.IFNA(INDEX(OrchardIDnai,MATCH(A2,DimosNameNai,0)),"")</f>
        <v/>
      </c>
      <c r="E2" s="205" t="str">
        <f t="shared" ref="E2:E15" si="1">_xlfn.IFNA(INDEX(OrchardNameNai,MATCH(A2,DimosNameNai,0)),"")</f>
        <v/>
      </c>
      <c r="F2" s="205" t="str">
        <f>IF(D2="","",D2&amp;",")</f>
        <v/>
      </c>
      <c r="G2" s="205" t="str">
        <f>IF(E2="","",E2&amp;",")</f>
        <v/>
      </c>
      <c r="H2" s="207" t="str">
        <f>IF(B2="","",B2&amp;",")</f>
        <v/>
      </c>
      <c r="I2" s="207" t="str">
        <f t="shared" ref="I2:I15" si="2">_xlfn.IFNA(INDEX(OrchardIDnai,MATCH(B2,DimosNameNai,0)),"")</f>
        <v/>
      </c>
      <c r="J2" s="207" t="str">
        <f t="shared" ref="J2:J15" si="3">_xlfn.IFNA(INDEX(OrchardNameNai,MATCH(B2,DimosNameNai,0)),"")</f>
        <v/>
      </c>
      <c r="K2" s="207" t="str">
        <f>IF(I2="","",I2&amp;",")</f>
        <v/>
      </c>
      <c r="L2" s="207" t="str">
        <f>IF(J2="","",J2&amp;",")</f>
        <v/>
      </c>
    </row>
    <row r="3" spans="1:12" x14ac:dyDescent="0.3">
      <c r="A3" s="198"/>
      <c r="B3" s="198"/>
      <c r="C3" s="205" t="str">
        <f t="shared" ref="C3:C12" si="4">IF(A3="",C2,C2&amp;A3&amp;",")</f>
        <v/>
      </c>
      <c r="D3" s="205" t="str">
        <f t="shared" si="0"/>
        <v/>
      </c>
      <c r="E3" s="205" t="str">
        <f t="shared" si="1"/>
        <v/>
      </c>
      <c r="F3" s="205" t="str">
        <f t="shared" ref="F3:G12" si="5">IF(D3="",F2,F2&amp;D3&amp;",")</f>
        <v/>
      </c>
      <c r="G3" s="205" t="str">
        <f t="shared" si="5"/>
        <v/>
      </c>
      <c r="H3" s="207" t="str">
        <f t="shared" ref="H3:H12" si="6">IF(B3="",H2,H2&amp;B3&amp;",")</f>
        <v/>
      </c>
      <c r="I3" s="207" t="str">
        <f t="shared" si="2"/>
        <v/>
      </c>
      <c r="J3" s="207" t="str">
        <f t="shared" si="3"/>
        <v/>
      </c>
      <c r="K3" s="207" t="str">
        <f t="shared" ref="K3:K12" si="7">IF(I3="",K2,K2&amp;I3&amp;",")</f>
        <v/>
      </c>
      <c r="L3" s="207" t="str">
        <f t="shared" ref="L3:L12" si="8">IF(J3="",L2,L2&amp;J3&amp;",")</f>
        <v/>
      </c>
    </row>
    <row r="4" spans="1:12" x14ac:dyDescent="0.3">
      <c r="A4" s="198"/>
      <c r="B4" s="198"/>
      <c r="C4" s="205" t="str">
        <f t="shared" si="4"/>
        <v/>
      </c>
      <c r="D4" s="205" t="str">
        <f t="shared" si="0"/>
        <v/>
      </c>
      <c r="E4" s="205" t="str">
        <f t="shared" si="1"/>
        <v/>
      </c>
      <c r="F4" s="205" t="str">
        <f t="shared" si="5"/>
        <v/>
      </c>
      <c r="G4" s="205" t="str">
        <f t="shared" si="5"/>
        <v/>
      </c>
      <c r="H4" s="207" t="str">
        <f t="shared" si="6"/>
        <v/>
      </c>
      <c r="I4" s="207" t="str">
        <f t="shared" si="2"/>
        <v/>
      </c>
      <c r="J4" s="207" t="str">
        <f t="shared" si="3"/>
        <v/>
      </c>
      <c r="K4" s="207" t="str">
        <f t="shared" si="7"/>
        <v/>
      </c>
      <c r="L4" s="207" t="str">
        <f t="shared" si="8"/>
        <v/>
      </c>
    </row>
    <row r="5" spans="1:12" x14ac:dyDescent="0.3">
      <c r="A5" s="198"/>
      <c r="B5" s="198"/>
      <c r="C5" s="205" t="str">
        <f t="shared" si="4"/>
        <v/>
      </c>
      <c r="D5" s="205" t="str">
        <f t="shared" si="0"/>
        <v/>
      </c>
      <c r="E5" s="205" t="str">
        <f t="shared" si="1"/>
        <v/>
      </c>
      <c r="F5" s="205" t="str">
        <f t="shared" si="5"/>
        <v/>
      </c>
      <c r="G5" s="205" t="str">
        <f t="shared" si="5"/>
        <v/>
      </c>
      <c r="H5" s="207" t="str">
        <f t="shared" si="6"/>
        <v/>
      </c>
      <c r="I5" s="207" t="str">
        <f t="shared" si="2"/>
        <v/>
      </c>
      <c r="J5" s="207" t="str">
        <f t="shared" si="3"/>
        <v/>
      </c>
      <c r="K5" s="207" t="str">
        <f t="shared" si="7"/>
        <v/>
      </c>
      <c r="L5" s="207" t="str">
        <f t="shared" si="8"/>
        <v/>
      </c>
    </row>
    <row r="6" spans="1:12" x14ac:dyDescent="0.3">
      <c r="A6" s="198"/>
      <c r="B6" s="198"/>
      <c r="C6" s="205" t="str">
        <f t="shared" si="4"/>
        <v/>
      </c>
      <c r="D6" s="205" t="str">
        <f t="shared" si="0"/>
        <v/>
      </c>
      <c r="E6" s="205" t="str">
        <f t="shared" si="1"/>
        <v/>
      </c>
      <c r="F6" s="205" t="str">
        <f t="shared" si="5"/>
        <v/>
      </c>
      <c r="G6" s="205" t="str">
        <f t="shared" si="5"/>
        <v/>
      </c>
      <c r="H6" s="207" t="str">
        <f t="shared" si="6"/>
        <v/>
      </c>
      <c r="I6" s="207" t="str">
        <f t="shared" si="2"/>
        <v/>
      </c>
      <c r="J6" s="207" t="str">
        <f t="shared" si="3"/>
        <v/>
      </c>
      <c r="K6" s="207" t="str">
        <f t="shared" si="7"/>
        <v/>
      </c>
      <c r="L6" s="207" t="str">
        <f t="shared" si="8"/>
        <v/>
      </c>
    </row>
    <row r="7" spans="1:12" x14ac:dyDescent="0.3">
      <c r="A7" s="198"/>
      <c r="B7" s="198"/>
      <c r="C7" s="205" t="str">
        <f t="shared" si="4"/>
        <v/>
      </c>
      <c r="D7" s="205" t="str">
        <f t="shared" si="0"/>
        <v/>
      </c>
      <c r="E7" s="205" t="str">
        <f t="shared" si="1"/>
        <v/>
      </c>
      <c r="F7" s="205" t="str">
        <f t="shared" si="5"/>
        <v/>
      </c>
      <c r="G7" s="205" t="str">
        <f t="shared" si="5"/>
        <v/>
      </c>
      <c r="H7" s="207" t="str">
        <f t="shared" si="6"/>
        <v/>
      </c>
      <c r="I7" s="207" t="str">
        <f t="shared" si="2"/>
        <v/>
      </c>
      <c r="J7" s="207" t="str">
        <f t="shared" si="3"/>
        <v/>
      </c>
      <c r="K7" s="207" t="str">
        <f t="shared" si="7"/>
        <v/>
      </c>
      <c r="L7" s="207" t="str">
        <f t="shared" si="8"/>
        <v/>
      </c>
    </row>
    <row r="8" spans="1:12" x14ac:dyDescent="0.3">
      <c r="A8" s="198"/>
      <c r="B8" s="198"/>
      <c r="C8" s="205" t="str">
        <f t="shared" si="4"/>
        <v/>
      </c>
      <c r="D8" s="205" t="str">
        <f t="shared" si="0"/>
        <v/>
      </c>
      <c r="E8" s="205" t="str">
        <f t="shared" si="1"/>
        <v/>
      </c>
      <c r="F8" s="205" t="str">
        <f t="shared" si="5"/>
        <v/>
      </c>
      <c r="G8" s="205" t="str">
        <f t="shared" si="5"/>
        <v/>
      </c>
      <c r="H8" s="207" t="str">
        <f t="shared" si="6"/>
        <v/>
      </c>
      <c r="I8" s="207" t="str">
        <f t="shared" si="2"/>
        <v/>
      </c>
      <c r="J8" s="207" t="str">
        <f t="shared" si="3"/>
        <v/>
      </c>
      <c r="K8" s="207" t="str">
        <f t="shared" si="7"/>
        <v/>
      </c>
      <c r="L8" s="207" t="str">
        <f t="shared" si="8"/>
        <v/>
      </c>
    </row>
    <row r="9" spans="1:12" x14ac:dyDescent="0.3">
      <c r="A9" s="198"/>
      <c r="B9" s="198"/>
      <c r="C9" s="205" t="str">
        <f t="shared" si="4"/>
        <v/>
      </c>
      <c r="D9" s="205" t="str">
        <f t="shared" si="0"/>
        <v/>
      </c>
      <c r="E9" s="205" t="str">
        <f t="shared" si="1"/>
        <v/>
      </c>
      <c r="F9" s="205" t="str">
        <f t="shared" si="5"/>
        <v/>
      </c>
      <c r="G9" s="205" t="str">
        <f t="shared" si="5"/>
        <v/>
      </c>
      <c r="H9" s="207" t="str">
        <f t="shared" si="6"/>
        <v/>
      </c>
      <c r="I9" s="207" t="str">
        <f t="shared" si="2"/>
        <v/>
      </c>
      <c r="J9" s="207" t="str">
        <f t="shared" si="3"/>
        <v/>
      </c>
      <c r="K9" s="207" t="str">
        <f t="shared" si="7"/>
        <v/>
      </c>
      <c r="L9" s="207" t="str">
        <f t="shared" si="8"/>
        <v/>
      </c>
    </row>
    <row r="10" spans="1:12" x14ac:dyDescent="0.3">
      <c r="A10" s="198"/>
      <c r="B10" s="198"/>
      <c r="C10" s="205" t="str">
        <f t="shared" si="4"/>
        <v/>
      </c>
      <c r="D10" s="205" t="str">
        <f t="shared" si="0"/>
        <v/>
      </c>
      <c r="E10" s="205" t="str">
        <f t="shared" si="1"/>
        <v/>
      </c>
      <c r="F10" s="205" t="str">
        <f t="shared" si="5"/>
        <v/>
      </c>
      <c r="G10" s="205" t="str">
        <f t="shared" si="5"/>
        <v/>
      </c>
      <c r="H10" s="207" t="str">
        <f t="shared" si="6"/>
        <v/>
      </c>
      <c r="I10" s="207" t="str">
        <f t="shared" si="2"/>
        <v/>
      </c>
      <c r="J10" s="207" t="str">
        <f t="shared" si="3"/>
        <v/>
      </c>
      <c r="K10" s="207" t="str">
        <f t="shared" si="7"/>
        <v/>
      </c>
      <c r="L10" s="207" t="str">
        <f t="shared" si="8"/>
        <v/>
      </c>
    </row>
    <row r="11" spans="1:12" x14ac:dyDescent="0.3">
      <c r="A11" s="198"/>
      <c r="B11" s="198"/>
      <c r="C11" s="205" t="str">
        <f t="shared" si="4"/>
        <v/>
      </c>
      <c r="D11" s="205" t="str">
        <f t="shared" si="0"/>
        <v/>
      </c>
      <c r="E11" s="205" t="str">
        <f t="shared" si="1"/>
        <v/>
      </c>
      <c r="F11" s="205" t="str">
        <f t="shared" si="5"/>
        <v/>
      </c>
      <c r="G11" s="205" t="str">
        <f t="shared" si="5"/>
        <v/>
      </c>
      <c r="H11" s="207" t="str">
        <f t="shared" si="6"/>
        <v/>
      </c>
      <c r="I11" s="207" t="str">
        <f t="shared" si="2"/>
        <v/>
      </c>
      <c r="J11" s="207" t="str">
        <f t="shared" si="3"/>
        <v/>
      </c>
      <c r="K11" s="207" t="str">
        <f t="shared" si="7"/>
        <v/>
      </c>
      <c r="L11" s="207" t="str">
        <f t="shared" si="8"/>
        <v/>
      </c>
    </row>
    <row r="12" spans="1:12" x14ac:dyDescent="0.3">
      <c r="A12" s="198"/>
      <c r="B12" s="198"/>
      <c r="C12" s="205" t="str">
        <f t="shared" si="4"/>
        <v/>
      </c>
      <c r="D12" s="205" t="str">
        <f t="shared" si="0"/>
        <v/>
      </c>
      <c r="E12" s="205" t="str">
        <f t="shared" si="1"/>
        <v/>
      </c>
      <c r="F12" s="205" t="str">
        <f t="shared" si="5"/>
        <v/>
      </c>
      <c r="G12" s="205" t="str">
        <f t="shared" si="5"/>
        <v/>
      </c>
      <c r="H12" s="207" t="str">
        <f t="shared" si="6"/>
        <v/>
      </c>
      <c r="I12" s="207" t="str">
        <f t="shared" si="2"/>
        <v/>
      </c>
      <c r="J12" s="207" t="str">
        <f t="shared" si="3"/>
        <v/>
      </c>
      <c r="K12" s="207" t="str">
        <f t="shared" si="7"/>
        <v/>
      </c>
      <c r="L12" s="207" t="str">
        <f t="shared" si="8"/>
        <v/>
      </c>
    </row>
    <row r="13" spans="1:12" s="225" customFormat="1" x14ac:dyDescent="0.3">
      <c r="A13" s="198"/>
      <c r="B13" s="198"/>
      <c r="C13" s="205"/>
      <c r="D13" s="205"/>
      <c r="E13" s="205"/>
      <c r="F13" s="205"/>
      <c r="G13" s="205"/>
      <c r="H13" s="207"/>
      <c r="I13" s="207"/>
      <c r="J13" s="207"/>
      <c r="K13" s="207"/>
      <c r="L13" s="207"/>
    </row>
    <row r="14" spans="1:12" x14ac:dyDescent="0.3">
      <c r="A14" s="198"/>
      <c r="B14" s="198"/>
      <c r="C14" s="205" t="str">
        <f>IF(A14="",C12,C12&amp;A14&amp;",")</f>
        <v/>
      </c>
      <c r="D14" s="205" t="str">
        <f t="shared" si="0"/>
        <v/>
      </c>
      <c r="E14" s="205" t="str">
        <f t="shared" si="1"/>
        <v/>
      </c>
      <c r="F14" s="205" t="str">
        <f>IF(D14="",F12,F12&amp;D14&amp;",")</f>
        <v/>
      </c>
      <c r="G14" s="205" t="str">
        <f>IF(E14="",G12,G12&amp;E14&amp;",")</f>
        <v/>
      </c>
      <c r="H14" s="207" t="str">
        <f>IF(B14="",H12,H12&amp;B14&amp;",")</f>
        <v/>
      </c>
      <c r="I14" s="207" t="str">
        <f t="shared" si="2"/>
        <v/>
      </c>
      <c r="J14" s="207" t="str">
        <f t="shared" si="3"/>
        <v/>
      </c>
      <c r="K14" s="207" t="str">
        <f>IF(I14="",K12,K12&amp;I14&amp;",")</f>
        <v/>
      </c>
      <c r="L14" s="207" t="str">
        <f>IF(J14="",L12,L12&amp;J14&amp;",")</f>
        <v/>
      </c>
    </row>
    <row r="15" spans="1:12" ht="15" thickBot="1" x14ac:dyDescent="0.35">
      <c r="A15" s="199"/>
      <c r="B15" s="199"/>
      <c r="C15" s="205" t="str">
        <f>IF(LEN(C14)&gt;1,IF(A15="",LEFT(C14,LEN(C14)-1),C14&amp;A15),IF(A15="","",A15))</f>
        <v/>
      </c>
      <c r="D15" s="205" t="str">
        <f t="shared" si="0"/>
        <v/>
      </c>
      <c r="E15" s="205" t="str">
        <f t="shared" si="1"/>
        <v/>
      </c>
      <c r="F15" s="205" t="str">
        <f>IF(LEN(F14)&gt;1,IF(D15="",LEFT(F14,LEN(F14)-1),F14&amp;D15),IF(D15="","",D15))</f>
        <v/>
      </c>
      <c r="G15" s="205" t="str">
        <f>IF(LEN(G14)&gt;1,IF(E15="",LEFT(G14,LEN(G14)-1),G14&amp;E15),IF(E15="","",E15))</f>
        <v/>
      </c>
      <c r="H15" s="207" t="str">
        <f>IF(LEN(H14)&gt;1,IF(B15="",LEFT(H14,LEN(H14)-1),H14&amp;B15),IF(B15="","",B15))</f>
        <v/>
      </c>
      <c r="I15" s="207" t="str">
        <f t="shared" si="2"/>
        <v/>
      </c>
      <c r="J15" s="207" t="str">
        <f t="shared" si="3"/>
        <v/>
      </c>
      <c r="K15" s="207" t="str">
        <f>IF(LEN(K14)&gt;1,IF(I15="",LEFT(K14,LEN(K14)-1),K14&amp;I15),IF(I15="","",I15))</f>
        <v/>
      </c>
      <c r="L15" s="207" t="str">
        <f>IF(LEN(L14)&gt;1,IF(J15="",LEFT(L14,LEN(L14)-1),L14&amp;J15),IF(J15="","",J15))</f>
        <v/>
      </c>
    </row>
  </sheetData>
  <sheetProtection algorithmName="SHA-512" hashValue="Adu37dAAT6jKA2x0bJkA9UkDHTnSWp/8COUOAywGzFS47hscayDUUcUt2Ol3Hxh+fKjT9RpVlO+SYCImSVuSGg==" saltValue="EG4MWtPT24xG2mlyhKazXw==" spinCount="100000" sheet="1" objects="1" scenarios="1"/>
  <dataValidations count="1">
    <dataValidation type="list" allowBlank="1" showInputMessage="1" showErrorMessage="1" sqref="A2:B15" xr:uid="{00000000-0002-0000-0400-000000000000}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B0F0"/>
  </sheetPr>
  <dimension ref="A1:O18"/>
  <sheetViews>
    <sheetView topLeftCell="F2" zoomScaleNormal="100" workbookViewId="0">
      <selection activeCell="I11" sqref="I11"/>
    </sheetView>
  </sheetViews>
  <sheetFormatPr defaultColWidth="0" defaultRowHeight="14.4" zeroHeight="1" x14ac:dyDescent="0.3"/>
  <cols>
    <col min="1" max="1" width="50" style="170" customWidth="1"/>
    <col min="2" max="2" width="23" style="170" hidden="1" customWidth="1"/>
    <col min="3" max="3" width="23" style="170" customWidth="1"/>
    <col min="4" max="4" width="24.5546875" style="216" hidden="1" customWidth="1"/>
    <col min="5" max="5" width="23" style="216" hidden="1" customWidth="1"/>
    <col min="6" max="7" width="57.109375" style="170" customWidth="1"/>
    <col min="8" max="8" width="43.109375" style="170" customWidth="1"/>
    <col min="9" max="9" width="32.6640625" style="170" customWidth="1"/>
    <col min="10" max="10" width="25.33203125" style="170" customWidth="1"/>
    <col min="11" max="11" width="18" style="170" hidden="1" customWidth="1"/>
    <col min="12" max="12" width="28.88671875" style="170" customWidth="1"/>
    <col min="13" max="13" width="6.44140625" style="170" customWidth="1"/>
    <col min="14" max="14" width="15.5546875" style="170" customWidth="1"/>
    <col min="15" max="15" width="66.88671875" style="170" customWidth="1"/>
    <col min="16" max="16384" width="9.109375" style="170" hidden="1"/>
  </cols>
  <sheetData>
    <row r="1" spans="1:15" ht="15" hidden="1" thickBot="1" x14ac:dyDescent="0.35">
      <c r="A1" t="s">
        <v>505</v>
      </c>
      <c r="B1" t="s">
        <v>504</v>
      </c>
      <c r="C1" s="2" t="s">
        <v>506</v>
      </c>
      <c r="D1" s="213" t="s">
        <v>905</v>
      </c>
      <c r="E1" s="213" t="s">
        <v>906</v>
      </c>
      <c r="F1" s="2" t="s">
        <v>509</v>
      </c>
      <c r="G1" s="2" t="s">
        <v>507</v>
      </c>
      <c r="H1" s="2" t="s">
        <v>924</v>
      </c>
      <c r="I1" s="2" t="s">
        <v>510</v>
      </c>
      <c r="J1" s="64" t="s">
        <v>513</v>
      </c>
      <c r="K1" s="2" t="s">
        <v>511</v>
      </c>
      <c r="L1" s="2" t="s">
        <v>512</v>
      </c>
      <c r="N1" s="64" t="s">
        <v>513</v>
      </c>
      <c r="O1" s="64" t="s">
        <v>513</v>
      </c>
    </row>
    <row r="2" spans="1:15" ht="57.75" customHeight="1" thickBot="1" x14ac:dyDescent="0.35">
      <c r="A2" s="3" t="s">
        <v>422</v>
      </c>
      <c r="B2" s="4" t="s">
        <v>28</v>
      </c>
      <c r="C2" s="4" t="s">
        <v>433</v>
      </c>
      <c r="D2" s="217"/>
      <c r="E2" s="217"/>
      <c r="F2" s="4" t="s">
        <v>580</v>
      </c>
      <c r="G2" s="4" t="s">
        <v>481</v>
      </c>
      <c r="H2" s="4" t="s">
        <v>443</v>
      </c>
      <c r="I2" s="4" t="s">
        <v>570</v>
      </c>
      <c r="J2" s="4" t="s">
        <v>548</v>
      </c>
      <c r="K2" s="82" t="s">
        <v>499</v>
      </c>
      <c r="L2" s="83" t="s">
        <v>421</v>
      </c>
      <c r="N2" s="47" t="s">
        <v>452</v>
      </c>
      <c r="O2" s="109" t="s">
        <v>553</v>
      </c>
    </row>
    <row r="3" spans="1:15" ht="30.75" customHeight="1" thickTop="1" x14ac:dyDescent="0.3">
      <c r="A3" s="18" t="s">
        <v>442</v>
      </c>
      <c r="B3" s="45" t="str">
        <f>ΓΕΝΙΚΑ!C4</f>
        <v>WIND</v>
      </c>
      <c r="C3" s="176" t="s">
        <v>434</v>
      </c>
      <c r="D3" s="114" t="str">
        <f>IF(ΓΕΝΙΚΑ!$B$17="ΝΑΙ",15300,"")</f>
        <v/>
      </c>
      <c r="E3" s="114" t="str">
        <f>IF(ΓΕΝΙΚΑ!$B$17="ΝΑΙ","ΠΑΝΕΛΛΑΔΙΚΑ","")</f>
        <v/>
      </c>
      <c r="F3" s="200" t="str">
        <f>'ΤΚ ΜΕΤΡΗΣΕΩΝ B01'!C15</f>
        <v/>
      </c>
      <c r="G3" s="5" t="s">
        <v>440</v>
      </c>
      <c r="H3" s="5" t="s">
        <v>445</v>
      </c>
      <c r="I3" s="175">
        <v>1</v>
      </c>
      <c r="J3" s="183"/>
      <c r="K3" s="259" t="str">
        <f>IF(ISNUMBER(J3),ROUND(J3,2),"N/A")</f>
        <v>N/A</v>
      </c>
      <c r="L3" s="274" t="s">
        <v>925</v>
      </c>
      <c r="N3" s="95" t="str">
        <f>IF(O3="","","ΣΦΑΛΜΑ")</f>
        <v>ΣΦΑΛΜΑ</v>
      </c>
      <c r="O3" s="96" t="str">
        <f t="shared" ref="O3:O4" si="0">CONCATENATE(IF(AND(ISNUMBER(J3)=FALSE),"Η Τιμή (Mbps) πρέπει να είναι αριθμός.",IF(J3&lt;0,"Η Τιμή (Mbps) πρέπει να είναι θετικός αριθμός","")),IF(AND(J3&lt;&gt;"",F3=""),"   |   Το ΤΚ στο οποίο πραγματοποιήθηκαν μετρήσεις πρέπει να συμπληρωθεί",""),"")</f>
        <v>Η Τιμή (Mbps) πρέπει να είναι αριθμός.</v>
      </c>
    </row>
    <row r="4" spans="1:15" ht="30.75" customHeight="1" x14ac:dyDescent="0.3">
      <c r="A4" s="14" t="str">
        <f>$A$3</f>
        <v>Β01</v>
      </c>
      <c r="B4" s="15" t="str">
        <f t="shared" ref="B4:B18" si="1">$B$3</f>
        <v>WIND</v>
      </c>
      <c r="C4" s="15" t="str">
        <f>$C$3</f>
        <v>Άμεση</v>
      </c>
      <c r="D4" s="215" t="str">
        <f>$D$3</f>
        <v/>
      </c>
      <c r="E4" s="215" t="str">
        <f>$E$3</f>
        <v/>
      </c>
      <c r="F4" s="50" t="str">
        <f t="shared" ref="F4:F10" si="2">$F$3</f>
        <v/>
      </c>
      <c r="G4" s="5" t="s">
        <v>440</v>
      </c>
      <c r="H4" s="5" t="s">
        <v>446</v>
      </c>
      <c r="I4" s="60">
        <v>1</v>
      </c>
      <c r="J4" s="184"/>
      <c r="K4" s="259" t="str">
        <f t="shared" ref="K4:K18" si="3">IF(ISNUMBER(J4),ROUND(J4,2),"N/A")</f>
        <v>N/A</v>
      </c>
      <c r="L4" s="233" t="str">
        <f>L$3</f>
        <v/>
      </c>
      <c r="N4" s="97" t="str">
        <f t="shared" ref="N4:N18" si="4">IF(O4="","","ΣΦΑΛΜΑ")</f>
        <v>ΣΦΑΛΜΑ</v>
      </c>
      <c r="O4" s="96" t="str">
        <f t="shared" si="0"/>
        <v>Η Τιμή (Mbps) πρέπει να είναι αριθμός.</v>
      </c>
    </row>
    <row r="5" spans="1:15" ht="30.75" customHeight="1" x14ac:dyDescent="0.3">
      <c r="A5" s="14" t="str">
        <f t="shared" ref="A5:A11" si="5">$A$3</f>
        <v>Β01</v>
      </c>
      <c r="B5" s="15" t="str">
        <f t="shared" si="1"/>
        <v>WIND</v>
      </c>
      <c r="C5" s="15" t="str">
        <f t="shared" ref="C5:C10" si="6">$C$3</f>
        <v>Άμεση</v>
      </c>
      <c r="D5" s="215" t="str">
        <f t="shared" ref="D5:D10" si="7">$D$3</f>
        <v/>
      </c>
      <c r="E5" s="215" t="str">
        <f t="shared" ref="E5:E10" si="8">$E$3</f>
        <v/>
      </c>
      <c r="F5" s="50" t="str">
        <f t="shared" si="2"/>
        <v/>
      </c>
      <c r="G5" s="7" t="s">
        <v>482</v>
      </c>
      <c r="H5" s="5" t="s">
        <v>445</v>
      </c>
      <c r="I5" s="60">
        <v>1</v>
      </c>
      <c r="J5" s="184"/>
      <c r="K5" s="259" t="str">
        <f t="shared" si="3"/>
        <v>N/A</v>
      </c>
      <c r="L5" s="233" t="str">
        <f t="shared" ref="L5:L18" si="9">L$3</f>
        <v/>
      </c>
      <c r="N5" s="97" t="str">
        <f t="shared" si="4"/>
        <v>ΣΦΑΛΜΑ</v>
      </c>
      <c r="O5" s="96" t="str">
        <f>CONCATENATE(IF(AND(ISNUMBER(J5)=FALSE),"Η Τιμή (Mbps) πρέπει να είναι αριθμός.",IF(J5&lt;0,"Η Τιμή (Mbps) πρέπει να είναι θετικός αριθμός","")),IF(AND(J5&lt;&gt;"",F5=""),"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6" spans="1:15" ht="30.75" customHeight="1" x14ac:dyDescent="0.3">
      <c r="A6" s="14" t="str">
        <f t="shared" si="5"/>
        <v>Β01</v>
      </c>
      <c r="B6" s="15" t="str">
        <f t="shared" si="1"/>
        <v>WIND</v>
      </c>
      <c r="C6" s="15" t="str">
        <f t="shared" si="6"/>
        <v>Άμεση</v>
      </c>
      <c r="D6" s="215" t="str">
        <f t="shared" si="7"/>
        <v/>
      </c>
      <c r="E6" s="215" t="str">
        <f t="shared" si="8"/>
        <v/>
      </c>
      <c r="F6" s="50" t="str">
        <f t="shared" si="2"/>
        <v/>
      </c>
      <c r="G6" s="7" t="s">
        <v>482</v>
      </c>
      <c r="H6" s="5" t="s">
        <v>446</v>
      </c>
      <c r="I6" s="60">
        <v>1</v>
      </c>
      <c r="J6" s="184"/>
      <c r="K6" s="259" t="str">
        <f t="shared" si="3"/>
        <v>N/A</v>
      </c>
      <c r="L6" s="233" t="str">
        <f t="shared" si="9"/>
        <v/>
      </c>
      <c r="N6" s="97" t="str">
        <f t="shared" si="4"/>
        <v>ΣΦΑΛΜΑ</v>
      </c>
      <c r="O6" s="96" t="str">
        <f>CONCATENATE(IF(AND(ISNUMBER(J6)=FALSE),"Η Τιμή (Mbps) πρέπει να είναι αριθμός.",IF(J6&lt;0,"Η Τιμή (Mbps) πρέπει να είναι θετικός αριθμός","")),IF(AND(J6&lt;&gt;"",F6=""),"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7" spans="1:15" ht="30.75" customHeight="1" x14ac:dyDescent="0.3">
      <c r="A7" s="14" t="str">
        <f t="shared" si="5"/>
        <v>Β01</v>
      </c>
      <c r="B7" s="15" t="str">
        <f t="shared" si="1"/>
        <v>WIND</v>
      </c>
      <c r="C7" s="15" t="str">
        <f t="shared" si="6"/>
        <v>Άμεση</v>
      </c>
      <c r="D7" s="215" t="str">
        <f t="shared" si="7"/>
        <v/>
      </c>
      <c r="E7" s="215" t="str">
        <f t="shared" si="8"/>
        <v/>
      </c>
      <c r="F7" s="50" t="str">
        <f t="shared" si="2"/>
        <v/>
      </c>
      <c r="G7" s="7" t="s">
        <v>441</v>
      </c>
      <c r="H7" s="5" t="s">
        <v>445</v>
      </c>
      <c r="I7" s="60">
        <v>1</v>
      </c>
      <c r="J7" s="184"/>
      <c r="K7" s="259" t="str">
        <f t="shared" si="3"/>
        <v>N/A</v>
      </c>
      <c r="L7" s="233" t="str">
        <f t="shared" si="9"/>
        <v/>
      </c>
      <c r="N7" s="97" t="str">
        <f t="shared" si="4"/>
        <v>ΣΦΑΛΜΑ</v>
      </c>
      <c r="O7" s="96" t="str">
        <f>CONCATENATE(IF(AND(ISNUMBER(J7)=FALSE),"Η Τιμή (Mbps) πρέπει να είναι αριθμός.",IF(J7&lt;0,"Η Τιμή (Mbps) πρέπει να είναι θετικός αριθμός","")),IF(AND(J7&lt;&gt;"",F7=""),"   |   Το ΤΚ στο οποίο πραγματοποιήθηκαν μετρήσεις πρέπει να συμπληρωθεί",""),IF(OR(J5&lt;J7,J7&lt;J9),"Η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8" spans="1:15" ht="30.75" customHeight="1" x14ac:dyDescent="0.3">
      <c r="A8" s="14" t="str">
        <f t="shared" si="5"/>
        <v>Β01</v>
      </c>
      <c r="B8" s="15" t="str">
        <f t="shared" si="1"/>
        <v>WIND</v>
      </c>
      <c r="C8" s="15" t="str">
        <f t="shared" si="6"/>
        <v>Άμεση</v>
      </c>
      <c r="D8" s="215" t="str">
        <f t="shared" si="7"/>
        <v/>
      </c>
      <c r="E8" s="215" t="str">
        <f t="shared" si="8"/>
        <v/>
      </c>
      <c r="F8" s="50" t="str">
        <f t="shared" si="2"/>
        <v/>
      </c>
      <c r="G8" s="7" t="s">
        <v>441</v>
      </c>
      <c r="H8" s="5" t="s">
        <v>446</v>
      </c>
      <c r="I8" s="60">
        <v>1</v>
      </c>
      <c r="J8" s="184"/>
      <c r="K8" s="259" t="str">
        <f t="shared" si="3"/>
        <v>N/A</v>
      </c>
      <c r="L8" s="233" t="str">
        <f t="shared" si="9"/>
        <v/>
      </c>
      <c r="N8" s="97" t="str">
        <f t="shared" si="4"/>
        <v>ΣΦΑΛΜΑ</v>
      </c>
      <c r="O8" s="96" t="str">
        <f>CONCATENATE(IF(AND(ISNUMBER(J8)=FALSE),"Η Τιμή (Mbps) πρέπει να είναι αριθμός.",IF(J8&lt;0,"Η Τιμή (Mbps) πρέπει να είναι θετικός αριθμός","")),IF(AND(J8&lt;&gt;"",F8=""),"   |   Το ΤΚ στο οποίο πραγματοποιήθηκαν μετρήσεις πρέπει να συμπληρωθεί",""),IF(OR(J6&lt;J8,J8&lt;J10),"Η μέση τιμή πρέπει να είναι μεταξύ της τιμής του 5ου και της τιμής του 95ου εκατοστημορίου",""))</f>
        <v>Η Τιμή (Mbps) πρέπει να είναι αριθμός.</v>
      </c>
    </row>
    <row r="9" spans="1:15" ht="30.75" customHeight="1" x14ac:dyDescent="0.3">
      <c r="A9" s="14" t="str">
        <f t="shared" si="5"/>
        <v>Β01</v>
      </c>
      <c r="B9" s="15" t="str">
        <f t="shared" si="1"/>
        <v>WIND</v>
      </c>
      <c r="C9" s="15" t="str">
        <f t="shared" si="6"/>
        <v>Άμεση</v>
      </c>
      <c r="D9" s="215" t="str">
        <f t="shared" si="7"/>
        <v/>
      </c>
      <c r="E9" s="215" t="str">
        <f t="shared" si="8"/>
        <v/>
      </c>
      <c r="F9" s="50" t="str">
        <f t="shared" si="2"/>
        <v/>
      </c>
      <c r="G9" s="7" t="s">
        <v>483</v>
      </c>
      <c r="H9" s="5" t="s">
        <v>445</v>
      </c>
      <c r="I9" s="60">
        <v>1</v>
      </c>
      <c r="J9" s="184"/>
      <c r="K9" s="259" t="str">
        <f t="shared" si="3"/>
        <v>N/A</v>
      </c>
      <c r="L9" s="233" t="str">
        <f t="shared" si="9"/>
        <v/>
      </c>
      <c r="N9" s="97" t="str">
        <f t="shared" si="4"/>
        <v>ΣΦΑΛΜΑ</v>
      </c>
      <c r="O9" s="96" t="str">
        <f>CONCATENATE(IF(AND(ISNUMBER(J9)=FALSE),"Η Τιμή (Mbps) πρέπει να είναι αριθμός.",IF(J9&lt;0,"Η Τιμή (Mbps) πρέπει να είναι θετικός αριθμός","")),IF(AND(J9&lt;&gt;"",F9=""),"   |   Το ΤΚ στο οποίο πραγματοποιήθηκαν μετρήσεις πρέπει να συμπληρωθεί",""),IF(J5&lt;J9,"Η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0" spans="1:15" ht="30.75" customHeight="1" thickBot="1" x14ac:dyDescent="0.35">
      <c r="A10" s="16" t="str">
        <f t="shared" si="5"/>
        <v>Β01</v>
      </c>
      <c r="B10" s="17" t="str">
        <f t="shared" si="1"/>
        <v>WIND</v>
      </c>
      <c r="C10" s="17" t="str">
        <f t="shared" si="6"/>
        <v>Άμεση</v>
      </c>
      <c r="D10" s="218" t="str">
        <f t="shared" si="7"/>
        <v/>
      </c>
      <c r="E10" s="218" t="str">
        <f t="shared" si="8"/>
        <v/>
      </c>
      <c r="F10" s="49" t="str">
        <f t="shared" si="2"/>
        <v/>
      </c>
      <c r="G10" s="6" t="s">
        <v>483</v>
      </c>
      <c r="H10" s="13" t="s">
        <v>446</v>
      </c>
      <c r="I10" s="62">
        <v>1</v>
      </c>
      <c r="J10" s="185"/>
      <c r="K10" s="259" t="str">
        <f t="shared" si="3"/>
        <v>N/A</v>
      </c>
      <c r="L10" s="233" t="str">
        <f t="shared" si="9"/>
        <v/>
      </c>
      <c r="N10" s="97" t="str">
        <f t="shared" si="4"/>
        <v>ΣΦΑΛΜΑ</v>
      </c>
      <c r="O10" s="96" t="str">
        <f>CONCATENATE(IF(AND(ISNUMBER(J10)=FALSE),"Η Τιμή (Mbps) πρέπει να είναι αριθμός.",IF(J10&lt;0,"Η Τιμή (Mbps) πρέπει να είναι θετικός αριθμός","")),IF(AND(J10&lt;&gt;"",F10=""),"   |   Το ΤΚ στο οποίο πραγματοποιήθηκαν μετρήσεις πρέπει να συμπληρωθεί",""),IF(J6&lt;J10,"Η τιμή του 5ου εκατοστημορίου πρέπει να είναι μικρότερη  της τιμής του 95ου εκατοστημορίου",""))</f>
        <v>Η Τιμή (Mbps) πρέπει να είναι αριθμός.</v>
      </c>
    </row>
    <row r="11" spans="1:15" ht="30.75" customHeight="1" x14ac:dyDescent="0.3">
      <c r="A11" s="14" t="str">
        <f t="shared" si="5"/>
        <v>Β01</v>
      </c>
      <c r="B11" s="15" t="str">
        <f t="shared" si="1"/>
        <v>WIND</v>
      </c>
      <c r="C11" s="61" t="str">
        <f>$C$3</f>
        <v>Άμεση</v>
      </c>
      <c r="D11" s="114" t="str">
        <f>IF(ΓΕΝΙΚΑ!$B$17="ΝΑΙ",15300,"")</f>
        <v/>
      </c>
      <c r="E11" s="114" t="str">
        <f>IF(ΓΕΝΙΚΑ!$B$17="ΝΑΙ","ΠΑΝΕΛΛΑΔΙΚΑ","")</f>
        <v/>
      </c>
      <c r="F11" s="200" t="str">
        <f>'ΤΚ ΜΕΤΡΗΣΕΩΝ B01'!H15</f>
        <v/>
      </c>
      <c r="G11" s="5" t="s">
        <v>440</v>
      </c>
      <c r="H11" s="5" t="s">
        <v>445</v>
      </c>
      <c r="I11" s="134"/>
      <c r="J11" s="183"/>
      <c r="K11" s="259" t="str">
        <f t="shared" si="3"/>
        <v>N/A</v>
      </c>
      <c r="L11" s="233" t="str">
        <f t="shared" si="9"/>
        <v/>
      </c>
      <c r="N11" s="97" t="str">
        <f t="shared" si="4"/>
        <v/>
      </c>
      <c r="O11" s="110" t="str">
        <f t="shared" ref="O11:O12" si="10">IF(I11&lt;&gt;"",CONCATENATE(IF(AND(ISNUMBER(J11)=FALSE),"Η Τιμή (Mbps) πρέπει να είναι αριθμός.",IF(J11&lt;0,"Η Τιμή (Mbps) πρέπει να είναι θετικός αριθμός","")),IF(AND(J11&lt;&gt;"",F11=""),"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3">
      <c r="A12" s="14" t="str">
        <f>$A$3</f>
        <v>Β01</v>
      </c>
      <c r="B12" s="15" t="str">
        <f>$B$3</f>
        <v>WIND</v>
      </c>
      <c r="C12" s="15" t="str">
        <f>$C$3</f>
        <v>Άμεση</v>
      </c>
      <c r="D12" s="215" t="str">
        <f>$D$11</f>
        <v/>
      </c>
      <c r="E12" s="215" t="str">
        <f>$E$11</f>
        <v/>
      </c>
      <c r="F12" s="50" t="str">
        <f t="shared" ref="F12:F18" si="11">$F$3</f>
        <v/>
      </c>
      <c r="G12" s="5" t="s">
        <v>440</v>
      </c>
      <c r="H12" s="5" t="s">
        <v>446</v>
      </c>
      <c r="I12" s="60" t="str">
        <f t="shared" ref="I12:I18" si="12">IF(ISNUMBER($I$11),$I$11,"")</f>
        <v/>
      </c>
      <c r="J12" s="184"/>
      <c r="K12" s="259" t="str">
        <f t="shared" si="3"/>
        <v>N/A</v>
      </c>
      <c r="L12" s="233" t="str">
        <f t="shared" si="9"/>
        <v/>
      </c>
      <c r="N12" s="97" t="str">
        <f t="shared" si="4"/>
        <v/>
      </c>
      <c r="O12" s="110" t="str">
        <f t="shared" si="10"/>
        <v/>
      </c>
    </row>
    <row r="13" spans="1:15" ht="30.75" customHeight="1" x14ac:dyDescent="0.3">
      <c r="A13" s="14" t="str">
        <f t="shared" ref="A13:A18" si="13">$A$3</f>
        <v>Β01</v>
      </c>
      <c r="B13" s="15" t="str">
        <f t="shared" si="1"/>
        <v>WIND</v>
      </c>
      <c r="C13" s="15" t="str">
        <f t="shared" ref="C13:C18" si="14">$C$3</f>
        <v>Άμεση</v>
      </c>
      <c r="D13" s="215" t="str">
        <f t="shared" ref="D13:D18" si="15">$D$11</f>
        <v/>
      </c>
      <c r="E13" s="215" t="str">
        <f t="shared" ref="E13:E18" si="16">$E$11</f>
        <v/>
      </c>
      <c r="F13" s="50" t="str">
        <f t="shared" si="11"/>
        <v/>
      </c>
      <c r="G13" s="7" t="s">
        <v>482</v>
      </c>
      <c r="H13" s="5" t="s">
        <v>445</v>
      </c>
      <c r="I13" s="60" t="str">
        <f t="shared" si="12"/>
        <v/>
      </c>
      <c r="J13" s="184"/>
      <c r="K13" s="259" t="str">
        <f t="shared" si="3"/>
        <v>N/A</v>
      </c>
      <c r="L13" s="233" t="str">
        <f t="shared" si="9"/>
        <v/>
      </c>
      <c r="N13" s="97" t="str">
        <f t="shared" si="4"/>
        <v/>
      </c>
      <c r="O13" s="110" t="str">
        <f>IF(I13&lt;&gt;"",CONCATENATE(IF(AND(ISNUMBER(J13)=FALSE),"Η Τιμή (Mbps) πρέπει να είναι αριθμός.",IF(J13&lt;0,"Η Τιμή (Mbps) πρέπει να είναι θετικός αριθμός","")),IF(AND(J13&lt;&gt;"",F13=""),"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3">
      <c r="A14" s="14" t="str">
        <f t="shared" si="13"/>
        <v>Β01</v>
      </c>
      <c r="B14" s="15" t="str">
        <f t="shared" si="1"/>
        <v>WIND</v>
      </c>
      <c r="C14" s="15" t="str">
        <f t="shared" si="14"/>
        <v>Άμεση</v>
      </c>
      <c r="D14" s="215" t="str">
        <f t="shared" si="15"/>
        <v/>
      </c>
      <c r="E14" s="215" t="str">
        <f t="shared" si="16"/>
        <v/>
      </c>
      <c r="F14" s="50" t="str">
        <f t="shared" si="11"/>
        <v/>
      </c>
      <c r="G14" s="7" t="s">
        <v>482</v>
      </c>
      <c r="H14" s="5" t="s">
        <v>446</v>
      </c>
      <c r="I14" s="60" t="str">
        <f t="shared" si="12"/>
        <v/>
      </c>
      <c r="J14" s="184"/>
      <c r="K14" s="259" t="str">
        <f t="shared" si="3"/>
        <v>N/A</v>
      </c>
      <c r="L14" s="233" t="str">
        <f t="shared" si="9"/>
        <v/>
      </c>
      <c r="N14" s="97" t="str">
        <f t="shared" si="4"/>
        <v/>
      </c>
      <c r="O14" s="110" t="str">
        <f>IF(I14&lt;&gt;"",CONCATENATE(IF(AND(ISNUMBER(J14)=FALSE),"Η Τιμή (Mbps) πρέπει να είναι αριθμός.",IF(J14&lt;0,"Η Τιμή (Mbps) πρέπει να είναι θετικός αριθμός","")),IF(AND(J14&lt;&gt;"",F14=""),"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3">
      <c r="A15" s="14" t="str">
        <f t="shared" si="13"/>
        <v>Β01</v>
      </c>
      <c r="B15" s="15" t="str">
        <f t="shared" si="1"/>
        <v>WIND</v>
      </c>
      <c r="C15" s="15" t="str">
        <f t="shared" si="14"/>
        <v>Άμεση</v>
      </c>
      <c r="D15" s="215" t="str">
        <f t="shared" si="15"/>
        <v/>
      </c>
      <c r="E15" s="215" t="str">
        <f t="shared" si="16"/>
        <v/>
      </c>
      <c r="F15" s="50" t="str">
        <f t="shared" si="11"/>
        <v/>
      </c>
      <c r="G15" s="7" t="s">
        <v>441</v>
      </c>
      <c r="H15" s="5" t="s">
        <v>445</v>
      </c>
      <c r="I15" s="60" t="str">
        <f t="shared" si="12"/>
        <v/>
      </c>
      <c r="J15" s="184"/>
      <c r="K15" s="259" t="str">
        <f t="shared" si="3"/>
        <v>N/A</v>
      </c>
      <c r="L15" s="233" t="str">
        <f t="shared" si="9"/>
        <v/>
      </c>
      <c r="N15" s="97" t="str">
        <f t="shared" si="4"/>
        <v/>
      </c>
      <c r="O15" s="110" t="str">
        <f>IF(I15&lt;&gt;"",CONCATENATE(IF(AND(ISNUMBER(J15)=FALSE),"Η Τιμή (Mbps) πρέπει να είναι αριθμός.",IF(J15&lt;0,"Η Τιμή (Mbps) πρέπει να είναι θετικός αριθμός","")),IF(AND(J15&lt;&gt;"",F15=""),"   |   Το ΤΚ στο οποίο πραγματοποιήθηκαν μετρήσεις πρέπει να συμπληρωθεί",""),IF(OR(J13&lt;J15,J15&lt;J17),"Η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3">
      <c r="A16" s="14" t="str">
        <f t="shared" si="13"/>
        <v>Β01</v>
      </c>
      <c r="B16" s="15" t="str">
        <f t="shared" si="1"/>
        <v>WIND</v>
      </c>
      <c r="C16" s="15" t="str">
        <f t="shared" si="14"/>
        <v>Άμεση</v>
      </c>
      <c r="D16" s="215" t="str">
        <f t="shared" si="15"/>
        <v/>
      </c>
      <c r="E16" s="215" t="str">
        <f t="shared" si="16"/>
        <v/>
      </c>
      <c r="F16" s="50" t="str">
        <f t="shared" si="11"/>
        <v/>
      </c>
      <c r="G16" s="7" t="s">
        <v>441</v>
      </c>
      <c r="H16" s="5" t="s">
        <v>446</v>
      </c>
      <c r="I16" s="60" t="str">
        <f t="shared" si="12"/>
        <v/>
      </c>
      <c r="J16" s="184"/>
      <c r="K16" s="259" t="str">
        <f t="shared" si="3"/>
        <v>N/A</v>
      </c>
      <c r="L16" s="233" t="str">
        <f t="shared" si="9"/>
        <v/>
      </c>
      <c r="N16" s="97" t="str">
        <f t="shared" si="4"/>
        <v/>
      </c>
      <c r="O16" s="110" t="str">
        <f>IF(I16&lt;&gt;"",CONCATENATE(IF(AND(ISNUMBER(J16)=FALSE),"Η Τιμή (Mbps) πρέπει να είναι αριθμός.",IF(J16&lt;0,"Η Τιμή (Mbps) πρέπει να είναι θετικός αριθμός","")),IF(AND(J16&lt;&gt;"",F16=""),"   |   Το ΤΚ στο οποίο πραγματοποιήθηκαν μετρήσεις πρέπει να συμπληρωθεί",""),IF(OR(J14&lt;J16,J16&lt;J18),"Η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3">
      <c r="A17" s="14" t="str">
        <f t="shared" si="13"/>
        <v>Β01</v>
      </c>
      <c r="B17" s="15" t="str">
        <f t="shared" si="1"/>
        <v>WIND</v>
      </c>
      <c r="C17" s="15" t="str">
        <f t="shared" si="14"/>
        <v>Άμεση</v>
      </c>
      <c r="D17" s="215" t="str">
        <f t="shared" si="15"/>
        <v/>
      </c>
      <c r="E17" s="215" t="str">
        <f t="shared" si="16"/>
        <v/>
      </c>
      <c r="F17" s="50" t="str">
        <f t="shared" si="11"/>
        <v/>
      </c>
      <c r="G17" s="7" t="s">
        <v>483</v>
      </c>
      <c r="H17" s="5" t="s">
        <v>445</v>
      </c>
      <c r="I17" s="60" t="str">
        <f t="shared" si="12"/>
        <v/>
      </c>
      <c r="J17" s="184"/>
      <c r="K17" s="259" t="str">
        <f t="shared" si="3"/>
        <v>N/A</v>
      </c>
      <c r="L17" s="233" t="str">
        <f t="shared" si="9"/>
        <v/>
      </c>
      <c r="N17" s="97" t="str">
        <f t="shared" si="4"/>
        <v/>
      </c>
      <c r="O17" s="110" t="str">
        <f>IF(I17&lt;&gt;"",CONCATENATE(IF(AND(ISNUMBER(J17)=FALSE),"Η Τιμή (Mbps) πρέπει να είναι αριθμός.",IF(J17&lt;0,"Η Τιμή (Mbps) πρέπει να είναι θετικός αριθμός","")),IF(AND(J17&lt;&gt;"",F17=""),"   |   Το ΤΚ στο οποίο πραγματοποιήθηκαν μετρήσεις πρέπει να συμπληρωθεί",""),IF(J13&lt;J17,"Η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5">
      <c r="A18" s="16" t="str">
        <f t="shared" si="13"/>
        <v>Β01</v>
      </c>
      <c r="B18" s="17" t="str">
        <f t="shared" si="1"/>
        <v>WIND</v>
      </c>
      <c r="C18" s="17" t="str">
        <f t="shared" si="14"/>
        <v>Άμεση</v>
      </c>
      <c r="D18" s="218" t="str">
        <f t="shared" si="15"/>
        <v/>
      </c>
      <c r="E18" s="218" t="str">
        <f t="shared" si="16"/>
        <v/>
      </c>
      <c r="F18" s="49" t="str">
        <f t="shared" si="11"/>
        <v/>
      </c>
      <c r="G18" s="6" t="s">
        <v>483</v>
      </c>
      <c r="H18" s="13" t="s">
        <v>446</v>
      </c>
      <c r="I18" s="62" t="str">
        <f t="shared" si="12"/>
        <v/>
      </c>
      <c r="J18" s="185"/>
      <c r="K18" s="259" t="str">
        <f t="shared" si="3"/>
        <v>N/A</v>
      </c>
      <c r="L18" s="234" t="str">
        <f t="shared" si="9"/>
        <v/>
      </c>
      <c r="N18" s="98" t="str">
        <f t="shared" si="4"/>
        <v/>
      </c>
      <c r="O18" s="111" t="str">
        <f>IF(I18&lt;&gt;"",CONCATENATE(IF(AND(ISNUMBER(J18)=FALSE),"Η Τιμή (Mbps) πρέπει να είναι αριθμός.",IF(J18&lt;0,"Η Τιμή (Mbps) πρέπει να είναι θετικός αριθμός","")),IF(AND(J18&lt;&gt;"",F18=""),"   |   Το ΤΚ στο οποίο πραγματοποιήθηκαν μετρήσεις πρέπει να συμπληρωθεί",""),IF(J14&lt;J18,"Η τιμή του 5ου εκατοστημορίου πρέπει να είναι μικρότερη  της τιμής του 95ου εκατοστημορίου","")),"")</f>
        <v/>
      </c>
    </row>
  </sheetData>
  <sheetProtection algorithmName="SHA-512" hashValue="/pDOZ7cF4Awuf1b4svWkoJs5ndlpGzBaoqN5uzNCe7J9qINyyHRze46VmaFEyekGHKSZBXH4T12j4I+OhjR4Jg==" saltValue="XKlhoKI2CKXAu8CIafKj8g==" spinCount="100000" sheet="1" objects="1" scenarios="1"/>
  <conditionalFormatting sqref="N3">
    <cfRule type="cellIs" dxfId="9" priority="2" operator="equal">
      <formula>"ΣΦΑΛΜΑ"</formula>
    </cfRule>
  </conditionalFormatting>
  <conditionalFormatting sqref="N4:N18">
    <cfRule type="cellIs" dxfId="8" priority="1" operator="equal">
      <formula>"ΣΦΑΛΜΑ"</formula>
    </cfRule>
  </conditionalFormatting>
  <dataValidations count="4">
    <dataValidation type="list" allowBlank="1" showInputMessage="1" showErrorMessage="1" sqref="C3 C11" xr:uid="{00000000-0002-0000-0500-000000000000}">
      <formula1>ServiceType</formula1>
    </dataValidation>
    <dataValidation type="list" allowBlank="1" showInputMessage="1" showErrorMessage="1" sqref="G3:G18" xr:uid="{00000000-0002-0000-0500-000001000000}">
      <formula1>SpeedValue</formula1>
    </dataValidation>
    <dataValidation type="list" allowBlank="1" showInputMessage="1" showErrorMessage="1" sqref="H3:H18" xr:uid="{00000000-0002-0000-0500-000002000000}">
      <formula1>Direction_</formula1>
    </dataValidation>
    <dataValidation type="list" allowBlank="1" showInputMessage="1" showErrorMessage="1" sqref="I3:I18" xr:uid="{00000000-0002-0000-0500-000003000000}">
      <formula1>Packet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P8"/>
  <sheetViews>
    <sheetView topLeftCell="D2" workbookViewId="0">
      <selection activeCell="A3" sqref="A3"/>
    </sheetView>
  </sheetViews>
  <sheetFormatPr defaultColWidth="9.109375" defaultRowHeight="14.4" zeroHeight="1" x14ac:dyDescent="0.3"/>
  <cols>
    <col min="1" max="1" width="50" style="170" customWidth="1"/>
    <col min="2" max="2" width="23" style="170" hidden="1" customWidth="1"/>
    <col min="3" max="4" width="23" style="170" customWidth="1"/>
    <col min="5" max="6" width="23" style="170" hidden="1" customWidth="1"/>
    <col min="7" max="7" width="42.88671875" style="170" customWidth="1"/>
    <col min="8" max="8" width="23.33203125" style="170" customWidth="1"/>
    <col min="9" max="9" width="23.33203125" style="170" bestFit="1" customWidth="1"/>
    <col min="10" max="10" width="23.33203125" style="170" hidden="1" customWidth="1"/>
    <col min="11" max="11" width="23.33203125" style="170" customWidth="1"/>
    <col min="12" max="12" width="23.33203125" style="170" hidden="1" customWidth="1"/>
    <col min="13" max="13" width="23.33203125" style="170" customWidth="1"/>
    <col min="14" max="14" width="6.6640625" style="170" customWidth="1"/>
    <col min="15" max="15" width="11.88671875" style="170" customWidth="1"/>
    <col min="16" max="16" width="77" style="170" customWidth="1"/>
    <col min="17" max="16384" width="9.109375" style="170"/>
  </cols>
  <sheetData>
    <row r="1" spans="1:16" ht="15" hidden="1" thickBot="1" x14ac:dyDescent="0.35">
      <c r="A1" t="s">
        <v>505</v>
      </c>
      <c r="B1" t="s">
        <v>504</v>
      </c>
      <c r="C1" s="2" t="s">
        <v>506</v>
      </c>
      <c r="D1" s="80" t="s">
        <v>509</v>
      </c>
      <c r="E1" s="2" t="s">
        <v>905</v>
      </c>
      <c r="F1" s="2" t="s">
        <v>906</v>
      </c>
      <c r="G1" s="2" t="s">
        <v>516</v>
      </c>
      <c r="H1" s="2" t="s">
        <v>924</v>
      </c>
      <c r="I1" s="2" t="s">
        <v>519</v>
      </c>
      <c r="J1" s="2" t="s">
        <v>514</v>
      </c>
      <c r="K1" s="2" t="s">
        <v>519</v>
      </c>
      <c r="L1" s="2" t="s">
        <v>515</v>
      </c>
      <c r="M1" s="2" t="s">
        <v>512</v>
      </c>
      <c r="O1" s="64" t="s">
        <v>513</v>
      </c>
      <c r="P1" s="64" t="s">
        <v>513</v>
      </c>
    </row>
    <row r="2" spans="1:16" ht="41.4" thickBot="1" x14ac:dyDescent="0.35">
      <c r="A2" s="3" t="s">
        <v>422</v>
      </c>
      <c r="B2" s="4" t="s">
        <v>28</v>
      </c>
      <c r="C2" s="4" t="s">
        <v>453</v>
      </c>
      <c r="D2" s="4" t="s">
        <v>547</v>
      </c>
      <c r="E2" s="4"/>
      <c r="F2" s="4"/>
      <c r="G2" s="4" t="s">
        <v>454</v>
      </c>
      <c r="H2" s="4" t="s">
        <v>443</v>
      </c>
      <c r="I2" s="4" t="s">
        <v>549</v>
      </c>
      <c r="J2" s="4" t="s">
        <v>549</v>
      </c>
      <c r="K2" s="4" t="s">
        <v>550</v>
      </c>
      <c r="L2" s="121" t="s">
        <v>550</v>
      </c>
      <c r="M2" s="23" t="s">
        <v>421</v>
      </c>
      <c r="O2" s="47" t="s">
        <v>452</v>
      </c>
      <c r="P2" s="109" t="s">
        <v>553</v>
      </c>
    </row>
    <row r="3" spans="1:16" ht="31.5" customHeight="1" thickTop="1" x14ac:dyDescent="0.3">
      <c r="A3" s="40" t="s">
        <v>455</v>
      </c>
      <c r="B3" s="70" t="str">
        <f>ΓΕΝΙΚΑ!C4</f>
        <v>WIND</v>
      </c>
      <c r="C3" s="112" t="s">
        <v>434</v>
      </c>
      <c r="D3" s="114" t="s">
        <v>555</v>
      </c>
      <c r="E3" s="114" t="str">
        <f>IF(ΓΕΝΙΚΑ!$B$17="ΝΑΙ",15300,"")</f>
        <v/>
      </c>
      <c r="F3" s="114" t="str">
        <f>IF(ΓΕΝΙΚΑ!$B$17="ΝΑΙ","ΠΑΝΕΛΛΑΔΙΚΑ","")</f>
        <v/>
      </c>
      <c r="G3" s="19" t="s">
        <v>456</v>
      </c>
      <c r="H3" s="19" t="s">
        <v>445</v>
      </c>
      <c r="I3" s="115"/>
      <c r="J3" s="84" t="str">
        <f>IF(ISNUMBER(I3),ROUND(I3,0),"N/A")</f>
        <v>N/A</v>
      </c>
      <c r="K3" s="118"/>
      <c r="L3" s="84" t="str">
        <f>IF(ISNUMBER(K$3),ROUND(K$3,0),"")</f>
        <v/>
      </c>
      <c r="M3" s="275" t="s">
        <v>925</v>
      </c>
      <c r="O3" s="95" t="str">
        <f>IF(P3="","","ΣΦΑΛΜΑ")</f>
        <v>ΣΦΑΛΜΑ</v>
      </c>
      <c r="P3" s="96" t="str">
        <f>CONCATENATE(IF(K3="","",IF(ISNUMBER(K3)=FALSE,"  |  Το μέσο πλήθος τελικών χρηστών πρέπει να είναι αριθμός.",IF(K3&lt;0,"   |   Το μέσο πλήθος τελικών χρηστών πρέπει να είναι θετικός αριθμός",""))),IF(AND(ISNUMBER(I3)=FALSE),"   |    Η μέση χωρητικότητα (Mbps) πρέπει να είναι αριθμός.",IF(I3&lt;0,"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4" spans="1:16" ht="31.5" customHeight="1" x14ac:dyDescent="0.3">
      <c r="A4" s="42" t="str">
        <f t="shared" ref="A4:C4" si="0">A3</f>
        <v>B02</v>
      </c>
      <c r="B4" s="68" t="str">
        <f t="shared" si="0"/>
        <v>WIND</v>
      </c>
      <c r="C4" s="69" t="str">
        <f t="shared" si="0"/>
        <v>Άμεση</v>
      </c>
      <c r="D4" s="69" t="s">
        <v>555</v>
      </c>
      <c r="E4" s="114" t="str">
        <f>IF(ΓΕΝΙΚΑ!$B$17="ΝΑΙ",15300,"")</f>
        <v/>
      </c>
      <c r="F4" s="114" t="str">
        <f>IF(ΓΕΝΙΚΑ!$B$17="ΝΑΙ","ΠΑΝΕΛΛΑΔΙΚΑ","")</f>
        <v/>
      </c>
      <c r="G4" s="66" t="s">
        <v>456</v>
      </c>
      <c r="H4" s="20" t="s">
        <v>446</v>
      </c>
      <c r="I4" s="116"/>
      <c r="J4" s="236" t="str">
        <f t="shared" ref="J4:J8" si="1">IF(ISNUMBER(I4),ROUND(I4,0),"N/A")</f>
        <v>N/A</v>
      </c>
      <c r="K4" s="267">
        <f>$K$3</f>
        <v>0</v>
      </c>
      <c r="L4" s="236" t="str">
        <f t="shared" ref="L4:L8" si="2">IF(ISNUMBER(K$3),ROUND(K$3,0),"")</f>
        <v/>
      </c>
      <c r="M4" s="235" t="str">
        <f>M$3</f>
        <v/>
      </c>
      <c r="O4" s="97" t="str">
        <f t="shared" ref="O4:O8" si="3">IF(P4="","","ΣΦΑΛΜΑ")</f>
        <v>ΣΦΑΛΜΑ</v>
      </c>
      <c r="P4" s="96" t="str">
        <f>CONCATENATE(IF(OR(NOT(ISNUMBER(K4)),K4=""),"Το μέσο πλήθος τελικών χρηστών πρέπει να είναι αριθμός.",IF(K4&lt;0,"   |   Το μέσο πλήθος τελικών χρηστών πρέπει να είναι θετικός αριθμός","")),IF(OR(NOT(ISNUMBER(I4)),I4=""),"   |    Η μέση χωρητικότητα (Mbps) πρέπει να είναι αριθμός.",IF(I4&lt;0,"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5" spans="1:16" ht="31.5" customHeight="1" x14ac:dyDescent="0.3">
      <c r="A5" s="42" t="str">
        <f>A3</f>
        <v>B02</v>
      </c>
      <c r="B5" s="68" t="str">
        <f>B3</f>
        <v>WIND</v>
      </c>
      <c r="C5" s="69" t="str">
        <f>C3</f>
        <v>Άμεση</v>
      </c>
      <c r="D5" s="69" t="s">
        <v>555</v>
      </c>
      <c r="E5" s="114" t="str">
        <f>IF(ΓΕΝΙΚΑ!$B$17="ΝΑΙ",15300,"")</f>
        <v/>
      </c>
      <c r="F5" s="114" t="str">
        <f>IF(ΓΕΝΙΚΑ!$B$17="ΝΑΙ","ΠΑΝΕΛΛΑΔΙΚΑ","")</f>
        <v/>
      </c>
      <c r="G5" s="66" t="s">
        <v>457</v>
      </c>
      <c r="H5" s="20" t="s">
        <v>445</v>
      </c>
      <c r="I5" s="116"/>
      <c r="J5" s="236" t="str">
        <f t="shared" si="1"/>
        <v>N/A</v>
      </c>
      <c r="K5" s="65">
        <f t="shared" ref="K5:K8" si="4">$K$3</f>
        <v>0</v>
      </c>
      <c r="L5" s="236" t="str">
        <f t="shared" si="2"/>
        <v/>
      </c>
      <c r="M5" s="235" t="str">
        <f t="shared" ref="M5:M8" si="5">M$3</f>
        <v/>
      </c>
      <c r="O5" s="97" t="str">
        <f t="shared" si="3"/>
        <v>ΣΦΑΛΜΑ</v>
      </c>
      <c r="P5" s="96" t="str">
        <f t="shared" ref="P5:P8" si="6">CONCATENATE(IF(OR(NOT(ISNUMBER(K5)),K5=""),"Το μέσο πλήθος τελικών χρηστών πρέπει να είναι αριθμός.",IF(K5&lt;0,"   |   Το μέσο πλήθος τελικών χρηστών πρέπει να είναι θετικός αριθμός","")),IF(OR(NOT(ISNUMBER(I5)),I5=""),"   |    Η μέση χωρητικότητα (Mbps) πρέπει να είναι αριθμός.",IF(I5&lt;0,"   |   Η μέση χωρητικότητα (Mbps) πρέπει να είναι θετικός αριθμός","")))</f>
        <v xml:space="preserve">   |    Η μέση χωρητικότητα (Mbps) πρέπει να είναι αριθμός.</v>
      </c>
    </row>
    <row r="6" spans="1:16" ht="31.5" customHeight="1" x14ac:dyDescent="0.3">
      <c r="A6" s="42" t="str">
        <f>A3</f>
        <v>B02</v>
      </c>
      <c r="B6" s="68" t="str">
        <f>B3</f>
        <v>WIND</v>
      </c>
      <c r="C6" s="69" t="str">
        <f>C3</f>
        <v>Άμεση</v>
      </c>
      <c r="D6" s="69" t="s">
        <v>555</v>
      </c>
      <c r="E6" s="114" t="str">
        <f>IF(ΓΕΝΙΚΑ!$B$17="ΝΑΙ",15300,"")</f>
        <v/>
      </c>
      <c r="F6" s="114" t="str">
        <f>IF(ΓΕΝΙΚΑ!$B$17="ΝΑΙ","ΠΑΝΕΛΛΑΔΙΚΑ","")</f>
        <v/>
      </c>
      <c r="G6" s="66" t="s">
        <v>457</v>
      </c>
      <c r="H6" s="20" t="s">
        <v>446</v>
      </c>
      <c r="I6" s="116"/>
      <c r="J6" s="236" t="str">
        <f t="shared" si="1"/>
        <v>N/A</v>
      </c>
      <c r="K6" s="65">
        <f t="shared" si="4"/>
        <v>0</v>
      </c>
      <c r="L6" s="236" t="str">
        <f t="shared" si="2"/>
        <v/>
      </c>
      <c r="M6" s="235" t="str">
        <f t="shared" si="5"/>
        <v/>
      </c>
      <c r="O6" s="97" t="str">
        <f t="shared" si="3"/>
        <v>ΣΦΑΛΜΑ</v>
      </c>
      <c r="P6" s="96" t="str">
        <f t="shared" si="6"/>
        <v xml:space="preserve">   |    Η μέση χωρητικότητα (Mbps) πρέπει να είναι αριθμός.</v>
      </c>
    </row>
    <row r="7" spans="1:16" ht="31.5" customHeight="1" x14ac:dyDescent="0.3">
      <c r="A7" s="42" t="str">
        <f>A3</f>
        <v>B02</v>
      </c>
      <c r="B7" s="68" t="str">
        <f>B3</f>
        <v>WIND</v>
      </c>
      <c r="C7" s="69" t="str">
        <f>C3</f>
        <v>Άμεση</v>
      </c>
      <c r="D7" s="69" t="s">
        <v>555</v>
      </c>
      <c r="E7" s="114" t="str">
        <f>IF(ΓΕΝΙΚΑ!$B$17="ΝΑΙ",15300,"")</f>
        <v/>
      </c>
      <c r="F7" s="114" t="str">
        <f>IF(ΓΕΝΙΚΑ!$B$17="ΝΑΙ","ΠΑΝΕΛΛΑΔΙΚΑ","")</f>
        <v/>
      </c>
      <c r="G7" s="66" t="s">
        <v>458</v>
      </c>
      <c r="H7" s="20" t="s">
        <v>445</v>
      </c>
      <c r="I7" s="116"/>
      <c r="J7" s="236" t="str">
        <f t="shared" si="1"/>
        <v>N/A</v>
      </c>
      <c r="K7" s="65">
        <f t="shared" si="4"/>
        <v>0</v>
      </c>
      <c r="L7" s="236" t="str">
        <f t="shared" si="2"/>
        <v/>
      </c>
      <c r="M7" s="235" t="str">
        <f t="shared" si="5"/>
        <v/>
      </c>
      <c r="O7" s="97" t="str">
        <f t="shared" si="3"/>
        <v>ΣΦΑΛΜΑ</v>
      </c>
      <c r="P7" s="96" t="str">
        <f t="shared" si="6"/>
        <v xml:space="preserve">   |    Η μέση χωρητικότητα (Mbps) πρέπει να είναι αριθμός.</v>
      </c>
    </row>
    <row r="8" spans="1:16" ht="31.5" customHeight="1" thickBot="1" x14ac:dyDescent="0.35">
      <c r="A8" s="43" t="str">
        <f>A3</f>
        <v>B02</v>
      </c>
      <c r="B8" s="71" t="str">
        <f>B3</f>
        <v>WIND</v>
      </c>
      <c r="C8" s="72" t="str">
        <f>C3</f>
        <v>Άμεση</v>
      </c>
      <c r="D8" s="72" t="s">
        <v>555</v>
      </c>
      <c r="E8" s="114" t="str">
        <f>IF(ΓΕΝΙΚΑ!$B$17="ΝΑΙ",15300,"")</f>
        <v/>
      </c>
      <c r="F8" s="114" t="str">
        <f>IF(ΓΕΝΙΚΑ!$B$17="ΝΑΙ","ΠΑΝΕΛΛΑΔΙΚΑ","")</f>
        <v/>
      </c>
      <c r="G8" s="67" t="s">
        <v>458</v>
      </c>
      <c r="H8" s="21" t="s">
        <v>446</v>
      </c>
      <c r="I8" s="117"/>
      <c r="J8" s="236" t="str">
        <f t="shared" si="1"/>
        <v>N/A</v>
      </c>
      <c r="K8" s="73">
        <f t="shared" si="4"/>
        <v>0</v>
      </c>
      <c r="L8" s="236" t="str">
        <f t="shared" si="2"/>
        <v/>
      </c>
      <c r="M8" s="260" t="str">
        <f t="shared" si="5"/>
        <v/>
      </c>
      <c r="O8" s="98" t="str">
        <f t="shared" si="3"/>
        <v>ΣΦΑΛΜΑ</v>
      </c>
      <c r="P8" s="113" t="str">
        <f t="shared" si="6"/>
        <v xml:space="preserve">   |    Η μέση χωρητικότητα (Mbps) πρέπει να είναι αριθμός.</v>
      </c>
    </row>
  </sheetData>
  <sheetProtection algorithmName="SHA-512" hashValue="4WlPtiJNCJqd6W3QKoRQgrkegaFEJJ6bUjivTO5AprS/RSj2F4HdNS8vNA7AitXzspnBfdpMUdfKr4QlqazOqw==" saltValue="f/3xgxw1NsO8njmGnj6ELg==" spinCount="100000" sheet="1" objects="1" scenarios="1"/>
  <conditionalFormatting sqref="O4:O8">
    <cfRule type="cellIs" dxfId="7" priority="1" operator="equal">
      <formula>"ΣΦΑΛΜΑ"</formula>
    </cfRule>
  </conditionalFormatting>
  <conditionalFormatting sqref="O3">
    <cfRule type="cellIs" dxfId="6" priority="2" operator="equal">
      <formula>"ΣΦΑΛΜΑ"</formula>
    </cfRule>
  </conditionalFormatting>
  <dataValidations count="3">
    <dataValidation type="list" allowBlank="1" showInputMessage="1" showErrorMessage="1" sqref="H3:H8" xr:uid="{00000000-0002-0000-0600-000000000000}">
      <formula1>Direction</formula1>
    </dataValidation>
    <dataValidation type="list" allowBlank="1" showInputMessage="1" showErrorMessage="1" sqref="G3:G8" xr:uid="{00000000-0002-0000-0600-000001000000}">
      <formula1>Capacity</formula1>
    </dataValidation>
    <dataValidation type="list" allowBlank="1" showInputMessage="1" showErrorMessage="1" sqref="C3" xr:uid="{00000000-0002-0000-0600-000002000000}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N12"/>
  <sheetViews>
    <sheetView topLeftCell="A2" zoomScaleNormal="100" workbookViewId="0">
      <selection activeCell="F11" sqref="F11"/>
    </sheetView>
  </sheetViews>
  <sheetFormatPr defaultColWidth="9.109375" defaultRowHeight="14.4" zeroHeight="1" x14ac:dyDescent="0.3"/>
  <cols>
    <col min="1" max="1" width="50" style="170" customWidth="1"/>
    <col min="2" max="2" width="23" style="170" hidden="1" customWidth="1"/>
    <col min="3" max="3" width="23" style="170" customWidth="1"/>
    <col min="4" max="4" width="25.109375" style="216" hidden="1" customWidth="1"/>
    <col min="5" max="5" width="40" style="216" hidden="1" customWidth="1"/>
    <col min="6" max="6" width="60" style="170" customWidth="1"/>
    <col min="7" max="7" width="21.44140625" style="170" customWidth="1"/>
    <col min="8" max="8" width="17.33203125" style="170" customWidth="1"/>
    <col min="9" max="9" width="36.109375" style="170" customWidth="1"/>
    <col min="10" max="10" width="24" style="170" hidden="1" customWidth="1"/>
    <col min="11" max="11" width="24" style="170" customWidth="1"/>
    <col min="12" max="12" width="5.44140625" style="170" customWidth="1"/>
    <col min="13" max="13" width="13" style="170" customWidth="1"/>
    <col min="14" max="14" width="82.5546875" style="170" customWidth="1"/>
    <col min="15" max="16384" width="9.109375" style="170"/>
  </cols>
  <sheetData>
    <row r="1" spans="1:14" ht="15" hidden="1" thickBot="1" x14ac:dyDescent="0.35">
      <c r="A1" t="s">
        <v>505</v>
      </c>
      <c r="B1" t="s">
        <v>504</v>
      </c>
      <c r="C1" s="80" t="s">
        <v>506</v>
      </c>
      <c r="D1" s="213" t="s">
        <v>905</v>
      </c>
      <c r="E1" s="213" t="s">
        <v>906</v>
      </c>
      <c r="F1" s="80" t="s">
        <v>509</v>
      </c>
      <c r="G1" s="80" t="s">
        <v>926</v>
      </c>
      <c r="H1" s="80" t="s">
        <v>517</v>
      </c>
      <c r="I1" s="80" t="s">
        <v>519</v>
      </c>
      <c r="J1" s="80" t="s">
        <v>518</v>
      </c>
      <c r="K1" s="80" t="s">
        <v>512</v>
      </c>
      <c r="M1" t="s">
        <v>519</v>
      </c>
      <c r="N1" t="s">
        <v>519</v>
      </c>
    </row>
    <row r="2" spans="1:14" s="177" customFormat="1" ht="34.5" customHeight="1" thickBot="1" x14ac:dyDescent="0.35">
      <c r="A2" s="3" t="s">
        <v>422</v>
      </c>
      <c r="B2" s="4" t="s">
        <v>28</v>
      </c>
      <c r="C2" s="4" t="s">
        <v>433</v>
      </c>
      <c r="D2" s="214"/>
      <c r="E2" s="214"/>
      <c r="F2" s="4" t="s">
        <v>554</v>
      </c>
      <c r="G2" s="227" t="s">
        <v>927</v>
      </c>
      <c r="H2" s="4" t="s">
        <v>485</v>
      </c>
      <c r="I2" s="103" t="s">
        <v>552</v>
      </c>
      <c r="J2" s="82" t="s">
        <v>460</v>
      </c>
      <c r="K2" s="93" t="s">
        <v>421</v>
      </c>
      <c r="M2" s="100" t="s">
        <v>452</v>
      </c>
      <c r="N2" s="101" t="s">
        <v>553</v>
      </c>
    </row>
    <row r="3" spans="1:14" ht="30" customHeight="1" thickTop="1" x14ac:dyDescent="0.3">
      <c r="A3" s="76" t="s">
        <v>471</v>
      </c>
      <c r="B3" s="19" t="str">
        <f>ΓΕΝΙΚΑ!C4</f>
        <v>WIND</v>
      </c>
      <c r="C3" s="92" t="s">
        <v>434</v>
      </c>
      <c r="D3" s="215" t="s">
        <v>923</v>
      </c>
      <c r="E3" s="277" t="s">
        <v>925</v>
      </c>
      <c r="F3" s="119"/>
      <c r="G3" s="279" t="s">
        <v>925</v>
      </c>
      <c r="H3" s="58" t="s">
        <v>486</v>
      </c>
      <c r="I3" s="147">
        <f>$I$5</f>
        <v>0</v>
      </c>
      <c r="J3" s="258" t="str">
        <f>IF(ISNUMBER(I$5),ROUND(I$5,2),"N/A")</f>
        <v>N/A</v>
      </c>
      <c r="K3" s="278" t="s">
        <v>925</v>
      </c>
      <c r="M3" s="95" t="str">
        <f>IF(N3="","","ΣΦΑΛΜΑ")</f>
        <v>ΣΦΑΛΜΑ</v>
      </c>
      <c r="N3" s="96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4" spans="1:14" ht="30" customHeight="1" x14ac:dyDescent="0.3">
      <c r="A4" s="87" t="str">
        <f>$A$3</f>
        <v>B03</v>
      </c>
      <c r="B4" s="88" t="str">
        <f>$B$3</f>
        <v>WIND</v>
      </c>
      <c r="C4" s="91" t="str">
        <f>$C$3</f>
        <v>Άμεση</v>
      </c>
      <c r="D4" s="215" t="s">
        <v>923</v>
      </c>
      <c r="E4" s="277" t="s">
        <v>925</v>
      </c>
      <c r="F4" s="104"/>
      <c r="G4" s="279" t="s">
        <v>925</v>
      </c>
      <c r="H4" s="58" t="str">
        <f t="shared" ref="H4" si="0">$H$3</f>
        <v>Εθνικές</v>
      </c>
      <c r="I4" s="145">
        <f>$I$5</f>
        <v>0</v>
      </c>
      <c r="J4" s="258" t="str">
        <f>IF(ISNUMBER(I$5),ROUND(I$5,2),"N/A")</f>
        <v>N/A</v>
      </c>
      <c r="K4" s="237" t="str">
        <f>$K$3</f>
        <v/>
      </c>
      <c r="M4" s="97" t="str">
        <f t="shared" ref="M4:M12" si="1">IF(N4="","","ΣΦΑΛΜΑ")</f>
        <v/>
      </c>
      <c r="N4" s="96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3">
      <c r="A5" s="87" t="str">
        <f>$A$3</f>
        <v>B03</v>
      </c>
      <c r="B5" s="88" t="str">
        <f t="shared" ref="B5:B12" si="2">$B$3</f>
        <v>WIND</v>
      </c>
      <c r="C5" s="91" t="str">
        <f t="shared" ref="C5:C12" si="3">$C$3</f>
        <v>Άμεση</v>
      </c>
      <c r="D5" s="225">
        <f>IF(ΓΕΝΙΚΑ!$B$23="ΝΑΙ",15300,"")</f>
        <v>15300</v>
      </c>
      <c r="E5" s="225" t="str">
        <f>IF(ΓΕΝΙΚΑ!$B$23="ΝΑΙ","ΠΑΝΕΛΛΑΔΙΚΑ","")</f>
        <v>ΠΑΝΕΛΛΑΔΙΚΑ</v>
      </c>
      <c r="F5" s="120"/>
      <c r="G5" s="5" t="str">
        <f>CONCATENATE(F3,", ",F4,", ",F5,", ",F6,", ",F7)</f>
        <v xml:space="preserve">, , , , </v>
      </c>
      <c r="H5" s="58" t="str">
        <f>$H$3</f>
        <v>Εθνικές</v>
      </c>
      <c r="I5" s="94"/>
      <c r="J5" s="258" t="str">
        <f>IF(ISNUMBER(I$5),ROUND(I$5,2),"N/A")</f>
        <v>N/A</v>
      </c>
      <c r="K5" s="238" t="str">
        <f t="shared" ref="K5:K12" si="4">$K$3</f>
        <v/>
      </c>
      <c r="M5" s="97" t="str">
        <f t="shared" si="1"/>
        <v>ΣΦΑΛΜΑ</v>
      </c>
      <c r="N5" s="96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>Το Ποσοστό Αποτυχημένων Κλήσεων πρέπει να είναι αριθμός.</v>
      </c>
    </row>
    <row r="6" spans="1:14" ht="30" customHeight="1" x14ac:dyDescent="0.3">
      <c r="A6" s="87" t="str">
        <f t="shared" ref="A6:A12" si="5">$A$3</f>
        <v>B03</v>
      </c>
      <c r="B6" s="88" t="str">
        <f t="shared" si="2"/>
        <v>WIND</v>
      </c>
      <c r="C6" s="91" t="str">
        <f t="shared" si="3"/>
        <v>Άμεση</v>
      </c>
      <c r="D6" s="215" t="s">
        <v>923</v>
      </c>
      <c r="E6" s="277" t="s">
        <v>925</v>
      </c>
      <c r="F6" s="104"/>
      <c r="G6" s="279" t="s">
        <v>925</v>
      </c>
      <c r="H6" s="58" t="str">
        <f t="shared" ref="H6:H7" si="6">$H$3</f>
        <v>Εθνικές</v>
      </c>
      <c r="I6" s="145">
        <f t="shared" ref="I6:I7" si="7">$I$5</f>
        <v>0</v>
      </c>
      <c r="J6" s="258" t="str">
        <f>IF(ISNUMBER(I$5),ROUND(I$5,2),"N/A")</f>
        <v>N/A</v>
      </c>
      <c r="K6" s="238" t="str">
        <f t="shared" si="4"/>
        <v/>
      </c>
      <c r="M6" s="97" t="str">
        <f t="shared" si="1"/>
        <v/>
      </c>
      <c r="N6" s="96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5">
      <c r="A7" s="87" t="str">
        <f t="shared" si="5"/>
        <v>B03</v>
      </c>
      <c r="B7" s="89" t="str">
        <f t="shared" si="2"/>
        <v>WIND</v>
      </c>
      <c r="C7" s="91" t="str">
        <f t="shared" si="3"/>
        <v>Άμεση</v>
      </c>
      <c r="D7" s="215" t="s">
        <v>923</v>
      </c>
      <c r="E7" s="277" t="s">
        <v>925</v>
      </c>
      <c r="F7" s="105"/>
      <c r="G7" s="279" t="s">
        <v>925</v>
      </c>
      <c r="H7" s="79" t="str">
        <f t="shared" si="6"/>
        <v>Εθνικές</v>
      </c>
      <c r="I7" s="146">
        <f t="shared" si="7"/>
        <v>0</v>
      </c>
      <c r="J7" s="258" t="str">
        <f>IF(ISNUMBER(I$5),ROUND(I$5,2),"N/A")</f>
        <v>N/A</v>
      </c>
      <c r="K7" s="238" t="str">
        <f t="shared" si="4"/>
        <v/>
      </c>
      <c r="M7" s="97" t="str">
        <f t="shared" si="1"/>
        <v/>
      </c>
      <c r="N7" s="96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3">
      <c r="A8" s="87" t="str">
        <f t="shared" si="5"/>
        <v>B03</v>
      </c>
      <c r="B8" s="88" t="str">
        <f t="shared" si="2"/>
        <v>WIND</v>
      </c>
      <c r="C8" s="91" t="str">
        <f t="shared" si="3"/>
        <v>Άμεση</v>
      </c>
      <c r="D8" s="215" t="str">
        <f>D3</f>
        <v>N/A</v>
      </c>
      <c r="E8" s="277" t="s">
        <v>925</v>
      </c>
      <c r="F8" s="106" t="str">
        <f>TEXT(F3,)</f>
        <v/>
      </c>
      <c r="G8" s="279" t="s">
        <v>925</v>
      </c>
      <c r="H8" s="58" t="s">
        <v>487</v>
      </c>
      <c r="I8" s="145">
        <f>$I$10</f>
        <v>0</v>
      </c>
      <c r="J8" s="258" t="str">
        <f>IF(ISNUMBER(I$10),ROUND(I$10,2),"N/A")</f>
        <v>N/A</v>
      </c>
      <c r="K8" s="238" t="str">
        <f t="shared" si="4"/>
        <v/>
      </c>
      <c r="M8" s="97" t="str">
        <f t="shared" si="1"/>
        <v>ΣΦΑΛΜΑ</v>
      </c>
      <c r="N8" s="96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 xml:space="preserve">   |   Το ΤΚ στο οποίο πραγματοποιήθηκαν μετρήσεις πρέπει να συμπληρωθεί</v>
      </c>
    </row>
    <row r="9" spans="1:14" ht="30" customHeight="1" x14ac:dyDescent="0.3">
      <c r="A9" s="87" t="str">
        <f t="shared" si="5"/>
        <v>B03</v>
      </c>
      <c r="B9" s="88" t="str">
        <f t="shared" si="2"/>
        <v>WIND</v>
      </c>
      <c r="C9" s="91" t="str">
        <f t="shared" si="3"/>
        <v>Άμεση</v>
      </c>
      <c r="D9" s="215" t="str">
        <f t="shared" ref="D9:E9" si="8">D4</f>
        <v>N/A</v>
      </c>
      <c r="E9" s="215" t="str">
        <f t="shared" si="8"/>
        <v/>
      </c>
      <c r="F9" s="106" t="str">
        <f t="shared" ref="F9:F12" si="9">TEXT(F4,)</f>
        <v/>
      </c>
      <c r="G9" s="279" t="s">
        <v>925</v>
      </c>
      <c r="H9" s="58" t="str">
        <f>$H$8</f>
        <v>Διεθνείς</v>
      </c>
      <c r="I9" s="145">
        <f>$I$10</f>
        <v>0</v>
      </c>
      <c r="J9" s="258" t="str">
        <f>IF(ISNUMBER(I$10),ROUND(I$10,2),"N/A")</f>
        <v>N/A</v>
      </c>
      <c r="K9" s="238" t="str">
        <f t="shared" si="4"/>
        <v/>
      </c>
      <c r="M9" s="97" t="str">
        <f t="shared" si="1"/>
        <v/>
      </c>
      <c r="N9" s="96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3">
      <c r="A10" s="87" t="str">
        <f t="shared" si="5"/>
        <v>B03</v>
      </c>
      <c r="B10" s="88" t="str">
        <f t="shared" si="2"/>
        <v>WIND</v>
      </c>
      <c r="C10" s="91" t="str">
        <f t="shared" si="3"/>
        <v>Άμεση</v>
      </c>
      <c r="D10" s="215">
        <f t="shared" ref="D10:E10" si="10">D5</f>
        <v>15300</v>
      </c>
      <c r="E10" s="215" t="str">
        <f t="shared" si="10"/>
        <v>ΠΑΝΕΛΛΑΔΙΚΑ</v>
      </c>
      <c r="F10" s="106" t="str">
        <f t="shared" si="9"/>
        <v/>
      </c>
      <c r="G10" s="5" t="str">
        <f>CONCATENATE(F8,", ",F9,", ",F10,", ",F11,", ",F12)</f>
        <v xml:space="preserve">, , , , </v>
      </c>
      <c r="H10" s="58" t="str">
        <f t="shared" ref="H10:H12" si="11">$H$8</f>
        <v>Διεθνείς</v>
      </c>
      <c r="I10" s="94"/>
      <c r="J10" s="258" t="str">
        <f>IF(ISNUMBER(I$10),ROUND(I$10,2),"N/A")</f>
        <v>N/A</v>
      </c>
      <c r="K10" s="238" t="str">
        <f t="shared" si="4"/>
        <v/>
      </c>
      <c r="M10" s="97" t="str">
        <f t="shared" si="1"/>
        <v>ΣΦΑΛΜΑ</v>
      </c>
      <c r="N10" s="96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>Το Ποσοστό Αποτυχημένων Κλήσεων πρέπει να είναι αριθμός.</v>
      </c>
    </row>
    <row r="11" spans="1:14" ht="30" customHeight="1" x14ac:dyDescent="0.3">
      <c r="A11" s="87" t="str">
        <f t="shared" si="5"/>
        <v>B03</v>
      </c>
      <c r="B11" s="90" t="str">
        <f t="shared" si="2"/>
        <v>WIND</v>
      </c>
      <c r="C11" s="91" t="str">
        <f t="shared" si="3"/>
        <v>Άμεση</v>
      </c>
      <c r="D11" s="215" t="str">
        <f t="shared" ref="D11:E11" si="12">D6</f>
        <v>N/A</v>
      </c>
      <c r="E11" s="215" t="str">
        <f t="shared" si="12"/>
        <v/>
      </c>
      <c r="F11" s="107" t="str">
        <f t="shared" si="9"/>
        <v/>
      </c>
      <c r="G11" s="279" t="s">
        <v>925</v>
      </c>
      <c r="H11" s="74" t="str">
        <f t="shared" si="11"/>
        <v>Διεθνείς</v>
      </c>
      <c r="I11" s="145">
        <f t="shared" ref="I11:I12" si="13">$I$10</f>
        <v>0</v>
      </c>
      <c r="J11" s="258" t="str">
        <f>IF(ISNUMBER(I$10),ROUND(I$10,2),"N/A")</f>
        <v>N/A</v>
      </c>
      <c r="K11" s="238" t="str">
        <f t="shared" si="4"/>
        <v/>
      </c>
      <c r="M11" s="97" t="str">
        <f t="shared" si="1"/>
        <v/>
      </c>
      <c r="N11" s="96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5">
      <c r="A12" s="77" t="str">
        <f t="shared" si="5"/>
        <v>B03</v>
      </c>
      <c r="B12" s="276" t="str">
        <f t="shared" si="2"/>
        <v>WIND</v>
      </c>
      <c r="C12" s="78" t="str">
        <f t="shared" si="3"/>
        <v>Άμεση</v>
      </c>
      <c r="D12" s="215" t="str">
        <f t="shared" ref="D12:E12" si="14">D7</f>
        <v>N/A</v>
      </c>
      <c r="E12" s="215" t="str">
        <f t="shared" si="14"/>
        <v/>
      </c>
      <c r="F12" s="108" t="str">
        <f t="shared" si="9"/>
        <v/>
      </c>
      <c r="G12" s="312" t="s">
        <v>925</v>
      </c>
      <c r="H12" s="102" t="str">
        <f t="shared" si="11"/>
        <v>Διεθνείς</v>
      </c>
      <c r="I12" s="146">
        <f t="shared" si="13"/>
        <v>0</v>
      </c>
      <c r="J12" s="258" t="str">
        <f>IF(ISNUMBER(I$10),ROUND(I$10,2),"N/A")</f>
        <v>N/A</v>
      </c>
      <c r="K12" s="239" t="str">
        <f t="shared" si="4"/>
        <v/>
      </c>
      <c r="M12" s="98" t="str">
        <f t="shared" si="1"/>
        <v/>
      </c>
      <c r="N12" s="99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algorithmName="SHA-512" hashValue="7p+CjTUByMx7y7dULCQRCe0nnRtl9IgPuGPBwnRwqnXKnGY41sgMdy8Smc6dJBkyYzeMXziMm72lY93S7X+H7A==" saltValue="QC3hPBNNY6Nw2+u+ySrxWw==" spinCount="100000" sheet="1" objects="1" scenario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 xr:uid="{00000000-0002-0000-0700-000000000000}">
      <formula1>ServiceType</formula1>
    </dataValidation>
    <dataValidation type="list" allowBlank="1" showInputMessage="1" showErrorMessage="1" sqref="H3:H12" xr:uid="{00000000-0002-0000-0700-000001000000}">
      <formula1>CallType</formula1>
    </dataValidation>
    <dataValidation type="list" allowBlank="1" showInputMessage="1" showErrorMessage="1" sqref="F3:F7" xr:uid="{00000000-0002-0000-0700-000002000000}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Q6"/>
  <sheetViews>
    <sheetView topLeftCell="G2" workbookViewId="0">
      <selection activeCell="P3" sqref="P3"/>
    </sheetView>
  </sheetViews>
  <sheetFormatPr defaultColWidth="9.109375" defaultRowHeight="14.4" zeroHeight="1" x14ac:dyDescent="0.3"/>
  <cols>
    <col min="1" max="1" width="50" style="170" customWidth="1"/>
    <col min="2" max="2" width="23" style="170" hidden="1" customWidth="1"/>
    <col min="3" max="3" width="23" style="170" customWidth="1"/>
    <col min="4" max="4" width="33.33203125" style="170" customWidth="1"/>
    <col min="5" max="6" width="33.33203125" style="170" hidden="1" customWidth="1"/>
    <col min="7" max="7" width="41.88671875" style="170" customWidth="1"/>
    <col min="8" max="8" width="23" style="170" customWidth="1"/>
    <col min="9" max="9" width="16" style="170" customWidth="1"/>
    <col min="10" max="10" width="32" style="170" customWidth="1"/>
    <col min="11" max="12" width="23.6640625" style="170" hidden="1" customWidth="1"/>
    <col min="13" max="13" width="17.33203125" style="170" customWidth="1"/>
    <col min="14" max="14" width="40.44140625" style="170" customWidth="1"/>
    <col min="15" max="15" width="6.33203125" style="178" customWidth="1"/>
    <col min="16" max="16" width="13.44140625" style="170" customWidth="1"/>
    <col min="17" max="17" width="69.88671875" style="170" customWidth="1"/>
    <col min="18" max="18" width="56.44140625" style="170" customWidth="1"/>
    <col min="19" max="16384" width="9.109375" style="170"/>
  </cols>
  <sheetData>
    <row r="1" spans="1:17" ht="15.75" hidden="1" customHeight="1" thickBot="1" x14ac:dyDescent="0.35">
      <c r="A1" t="s">
        <v>505</v>
      </c>
      <c r="B1" t="s">
        <v>504</v>
      </c>
      <c r="C1" s="80" t="s">
        <v>506</v>
      </c>
      <c r="D1" s="80" t="s">
        <v>510</v>
      </c>
      <c r="E1" s="2" t="s">
        <v>905</v>
      </c>
      <c r="F1" s="2" t="s">
        <v>906</v>
      </c>
      <c r="G1" s="2" t="s">
        <v>509</v>
      </c>
      <c r="H1" s="2" t="s">
        <v>508</v>
      </c>
      <c r="I1" s="80" t="s">
        <v>519</v>
      </c>
      <c r="J1" s="75" t="s">
        <v>519</v>
      </c>
      <c r="K1" s="80" t="s">
        <v>520</v>
      </c>
      <c r="L1" t="s">
        <v>521</v>
      </c>
      <c r="M1" t="s">
        <v>522</v>
      </c>
      <c r="N1" t="s">
        <v>512</v>
      </c>
      <c r="P1" s="75" t="s">
        <v>519</v>
      </c>
      <c r="Q1" s="75" t="s">
        <v>519</v>
      </c>
    </row>
    <row r="2" spans="1:17" ht="45" customHeight="1" thickBot="1" x14ac:dyDescent="0.35">
      <c r="A2" s="3" t="s">
        <v>422</v>
      </c>
      <c r="B2" s="4" t="s">
        <v>28</v>
      </c>
      <c r="C2" s="4" t="s">
        <v>433</v>
      </c>
      <c r="D2" s="4" t="s">
        <v>574</v>
      </c>
      <c r="E2" s="4"/>
      <c r="F2" s="4"/>
      <c r="G2" s="4" t="s">
        <v>556</v>
      </c>
      <c r="H2" s="4" t="s">
        <v>557</v>
      </c>
      <c r="I2" s="4" t="s">
        <v>462</v>
      </c>
      <c r="J2" s="4" t="s">
        <v>558</v>
      </c>
      <c r="K2" s="82" t="s">
        <v>429</v>
      </c>
      <c r="L2" s="82" t="s">
        <v>523</v>
      </c>
      <c r="M2" s="82" t="s">
        <v>423</v>
      </c>
      <c r="N2" s="93" t="s">
        <v>421</v>
      </c>
      <c r="O2" s="179"/>
      <c r="P2" s="129" t="s">
        <v>452</v>
      </c>
      <c r="Q2" s="109" t="s">
        <v>553</v>
      </c>
    </row>
    <row r="3" spans="1:17" ht="42.75" customHeight="1" thickTop="1" x14ac:dyDescent="0.3">
      <c r="A3" s="76" t="s">
        <v>461</v>
      </c>
      <c r="B3" s="280" t="str">
        <f>ΓΕΝΙΚΑ!C4</f>
        <v>WIND</v>
      </c>
      <c r="C3" s="181" t="s">
        <v>434</v>
      </c>
      <c r="D3" s="126">
        <v>1</v>
      </c>
      <c r="E3" s="209" t="str">
        <f>IF(ΓΕΝΙΚΑ!$B$19="ΝΑΙ",_xlfn.IFNA(INDEX(OrchardIDnai,MATCH(G3,DimosNameNai,0)),""),"")</f>
        <v/>
      </c>
      <c r="F3" s="209" t="str">
        <f>IF(ΓΕΝΙΚΑ!$B$19="ΝΑΙ",_xlfn.IFNA(INDEX(OrchardNameNai,MATCH(G3,DimosNameNai,0)),""),"")</f>
        <v/>
      </c>
      <c r="G3" s="134"/>
      <c r="H3" s="122" t="s">
        <v>445</v>
      </c>
      <c r="I3" s="136"/>
      <c r="J3" s="284" t="s">
        <v>925</v>
      </c>
      <c r="K3" s="182" t="str">
        <f>IF(I3="","",IF(I3="Άλλο",IF(J3="","",J3),TEXT(I3,)))</f>
        <v/>
      </c>
      <c r="L3" s="125">
        <f t="shared" ref="L3" si="0">IF(M3="ΠΟΛΥ ΥΨΗΛΗ", 5,IF(M3="ΥΨΗΛΗ",4,IF(M3="ΜΕΣΗ",3,IF(M3="ΧΑΜΗΛΗ",2,IF(M3="ΠΟΛΥ ΧΑΜΗΛΗ",1,0)))))</f>
        <v>0</v>
      </c>
      <c r="M3" s="136"/>
      <c r="N3" s="283" t="s">
        <v>925</v>
      </c>
      <c r="O3" s="180"/>
      <c r="P3" s="130" t="str">
        <f t="shared" ref="P3:P6" si="1">IF(Q3="","","ΣΦΑΛΜΑ")</f>
        <v>ΣΦΑΛΜΑ</v>
      </c>
      <c r="Q3" s="150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4" spans="1:17" ht="42.75" customHeight="1" x14ac:dyDescent="0.3">
      <c r="A4" s="87" t="e">
        <f>#REF!</f>
        <v>#REF!</v>
      </c>
      <c r="B4" s="281" t="str">
        <f>ΓΕΝΙΚΑ!C4</f>
        <v>WIND</v>
      </c>
      <c r="C4" s="91" t="str">
        <f>C3</f>
        <v>Άμεση</v>
      </c>
      <c r="D4" s="127">
        <v>1</v>
      </c>
      <c r="E4" s="210" t="str">
        <f>IF(ΓΕΝΙΚΑ!$B$19="ΝΑΙ",_xlfn.IFNA(INDEX(OrchardIDnai,MATCH(G4,DimosNameNai,0)),""),"")</f>
        <v/>
      </c>
      <c r="F4" s="211" t="str">
        <f>IF(ΓΕΝΙΚΑ!$B$19="ΝΑΙ",_xlfn.IFNA(INDEX(OrchardNameNai,MATCH(G4,DimosNameNai,0)),""),"")</f>
        <v/>
      </c>
      <c r="G4" s="134"/>
      <c r="H4" s="124" t="s">
        <v>446</v>
      </c>
      <c r="I4" s="7" t="str">
        <f>TEXT(I$3,)</f>
        <v/>
      </c>
      <c r="J4" s="7" t="str">
        <f t="shared" ref="J4" si="2">TEXT(J$3,)</f>
        <v/>
      </c>
      <c r="K4" s="7" t="str">
        <f t="shared" ref="K4:K6" si="3">IF(I4="","",IF(I4="Άλλο",IF(J4="","",J4),TEXT(I4,)))</f>
        <v/>
      </c>
      <c r="L4" s="7">
        <f>IF(M4="ΠΟΛΥ ΥΨΗΛΗ", 5,IF(M4="ΥΨΗΛΗ",4,IF(M4="ΜΕΣΗ",3,IF(M4="ΧΑΜΗΛΗ",2,IF(M4="ΠΟΛΥ ΧΑΜΗΛΗ",1,0)))))</f>
        <v>0</v>
      </c>
      <c r="M4" s="60" t="str">
        <f>TEXT(M$3,)</f>
        <v/>
      </c>
      <c r="N4" s="241" t="str">
        <f>N3</f>
        <v/>
      </c>
      <c r="O4" s="180"/>
      <c r="P4" s="130" t="str">
        <f t="shared" si="1"/>
        <v>ΣΦΑΛΜΑ</v>
      </c>
      <c r="Q4" s="150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5" spans="1:17" ht="42.75" customHeight="1" x14ac:dyDescent="0.3">
      <c r="A5" s="87" t="e">
        <f>#REF!</f>
        <v>#REF!</v>
      </c>
      <c r="B5" s="281" t="str">
        <f>ΓΕΝΙΚΑ!C4</f>
        <v>WIND</v>
      </c>
      <c r="C5" s="144" t="str">
        <f>C3</f>
        <v>Άμεση</v>
      </c>
      <c r="D5" s="137">
        <v>2</v>
      </c>
      <c r="E5" s="210" t="str">
        <f>IF(ΓΕΝΙΚΑ!$B$19="ΝΑΙ",_xlfn.IFNA(INDEX(OrchardIDnai,MATCH(G5,DimosNameNai,0)),""),"")</f>
        <v/>
      </c>
      <c r="F5" s="211" t="str">
        <f>IF(ΓΕΝΙΚΑ!$B$19="ΝΑΙ",_xlfn.IFNA(INDEX(OrchardNameNai,MATCH(G5,DimosNameNai,0)),""),"")</f>
        <v/>
      </c>
      <c r="G5" s="134"/>
      <c r="H5" s="190" t="s">
        <v>445</v>
      </c>
      <c r="I5" s="188"/>
      <c r="J5" s="285" t="s">
        <v>925</v>
      </c>
      <c r="K5" s="189" t="str">
        <f t="shared" si="3"/>
        <v/>
      </c>
      <c r="L5" s="59">
        <f t="shared" ref="L5:L6" si="4">IF(M5="ΠΟΛΥ ΥΨΗΛΗ", 5,IF(M5="ΥΨΗΛΗ",4,IF(M5="ΜΕΣΗ",3,IF(M5="ΧΑΜΗΛΗ",2,IF(M5="ΠΟΛΥ ΧΑΜΗΛΗ",1,0)))))</f>
        <v>0</v>
      </c>
      <c r="M5" s="188"/>
      <c r="N5" s="241" t="str">
        <f>N3</f>
        <v/>
      </c>
      <c r="O5" s="180"/>
      <c r="P5" s="130" t="str">
        <f t="shared" si="1"/>
        <v>ΣΦΑΛΜΑ</v>
      </c>
      <c r="Q5" s="150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>Το πεδίο ΤΚ Τερματικό Σημείο, δεν μπορεί να είναι κενό | Πρέπει να επιλεγεί ο Τύπος Τερματικής συσκευής  |  Το πεδίο Ποιότητα δεν μπορεί να είναι κενό</v>
      </c>
    </row>
    <row r="6" spans="1:17" ht="42.75" customHeight="1" thickBot="1" x14ac:dyDescent="0.35">
      <c r="A6" s="77" t="e">
        <f>#REF!</f>
        <v>#REF!</v>
      </c>
      <c r="B6" s="282" t="str">
        <f>ΓΕΝΙΚΑ!C4</f>
        <v>WIND</v>
      </c>
      <c r="C6" s="78" t="str">
        <f>C3</f>
        <v>Άμεση</v>
      </c>
      <c r="D6" s="128">
        <f t="shared" ref="D6" si="5">IF(ISNUMBER($D$5),$D$5,"")</f>
        <v>2</v>
      </c>
      <c r="E6" s="210" t="str">
        <f>IF(ΓΕΝΙΚΑ!$B$19="ΝΑΙ",_xlfn.IFNA(INDEX(OrchardIDnai,MATCH(G6,DimosNameNai,0)),""),"")</f>
        <v/>
      </c>
      <c r="F6" s="212" t="str">
        <f>IF(ΓΕΝΙΚΑ!$B$19="ΝΑΙ",_xlfn.IFNA(INDEX(OrchardNameNai,MATCH(G6,DimosNameNai,0)),""),"")</f>
        <v/>
      </c>
      <c r="G6" s="135"/>
      <c r="H6" s="123" t="s">
        <v>446</v>
      </c>
      <c r="I6" s="133" t="str">
        <f>TEXT(I$5,)</f>
        <v/>
      </c>
      <c r="J6" s="13" t="str">
        <f t="shared" ref="J6" si="6">TEXT(J$5,)</f>
        <v/>
      </c>
      <c r="K6" s="13" t="str">
        <f t="shared" si="3"/>
        <v/>
      </c>
      <c r="L6" s="13">
        <f t="shared" si="4"/>
        <v>0</v>
      </c>
      <c r="M6" s="132" t="str">
        <f>TEXT(M$5,)</f>
        <v/>
      </c>
      <c r="N6" s="242" t="str">
        <f>N3</f>
        <v/>
      </c>
      <c r="O6" s="180"/>
      <c r="P6" s="131" t="str">
        <f t="shared" si="1"/>
        <v>ΣΦΑΛΜΑ</v>
      </c>
      <c r="Q6" s="187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>Πρέπει να επιλεγεί ο Τύπος Τερματικής συσκευής  |  Το πεδίο Ποιότητα δεν μπορεί να είναι κενό</v>
      </c>
    </row>
  </sheetData>
  <sheetProtection algorithmName="SHA-512" hashValue="DKekkMSR2aYnJAjv0eRgllcprFnod8y3oMK2VuSxWdQXaX+HWB/CNbGK/xg3dAQNi2z/fygIDe7+WcNgS7vLhw==" saltValue="D8lCBrN/oQwyr96BM7L5kQ==" spinCount="100000" sheet="1" objects="1" scenarios="1"/>
  <dataConsolidate/>
  <conditionalFormatting sqref="P3:P6">
    <cfRule type="cellIs" dxfId="4" priority="1" operator="equal">
      <formula>"ΣΦΑΛΜΑ"</formula>
    </cfRule>
  </conditionalFormatting>
  <dataValidations count="5">
    <dataValidation type="list" allowBlank="1" showInputMessage="1" showErrorMessage="1" sqref="C3" xr:uid="{00000000-0002-0000-0800-000000000000}">
      <formula1>ServiceType</formula1>
    </dataValidation>
    <dataValidation type="list" allowBlank="1" showInputMessage="1" showErrorMessage="1" sqref="I5 I3" xr:uid="{00000000-0002-0000-0800-000001000000}">
      <formula1>POTS</formula1>
    </dataValidation>
    <dataValidation type="list" allowBlank="1" showInputMessage="1" showErrorMessage="1" sqref="D5 D3" xr:uid="{00000000-0002-0000-0800-000002000000}">
      <formula1>Packet</formula1>
    </dataValidation>
    <dataValidation type="list" allowBlank="1" showInputMessage="1" showErrorMessage="1" sqref="H3:H6" xr:uid="{00000000-0002-0000-0800-000003000000}">
      <formula1>Direction_</formula1>
    </dataValidation>
    <dataValidation type="list" allowBlank="1" showInputMessage="1" showErrorMessage="1" sqref="G3:G6" xr:uid="{00000000-0002-0000-0800-000004000000}">
      <formula1>TK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5000000}">
          <x14:formula1>
            <xm:f>Lists!$I$3:$I$8</xm:f>
          </x14:formula1>
          <xm:sqref>M5 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Καθορισμένες περιοχές</vt:lpstr>
      </vt:variant>
      <vt:variant>
        <vt:i4>29</vt:i4>
      </vt:variant>
    </vt:vector>
  </HeadingPairs>
  <TitlesOfParts>
    <vt:vector size="43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keywords>2.0</cp:keywords>
  <dc:description>05.05.2020</dc:description>
  <cp:lastModifiedBy>Koukoutsidis Giannis</cp:lastModifiedBy>
  <cp:lastPrinted>2015-09-24T06:21:34Z</cp:lastPrinted>
  <dcterms:created xsi:type="dcterms:W3CDTF">2015-03-10T09:10:24Z</dcterms:created>
  <dcterms:modified xsi:type="dcterms:W3CDTF">2021-10-05T07:04:59Z</dcterms:modified>
</cp:coreProperties>
</file>