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KARAGIANNOPOULOS\Desktop\"/>
    </mc:Choice>
  </mc:AlternateContent>
  <xr:revisionPtr revIDLastSave="0" documentId="13_ncr:1_{73C4CA87-21AA-4635-9CCB-4C6D910270E5}" xr6:coauthVersionLast="45" xr6:coauthVersionMax="45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5440" windowHeight="1554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<sst xmlns="http://schemas.openxmlformats.org/spreadsheetml/2006/main" count="3704" uniqueCount="938">
  <si>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</si>
  <si>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</si>
  <si>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</si>
  <si>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</si>
  <si>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</si>
  <si>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</si>
  <si>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</si>
  <si>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</si>
  <si>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</si>
  <si>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</si>
  <si>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</si>
  <si>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</si>
  <si>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</si>
  <si>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</si>
  <si>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</si>
  <si>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</si>
  <si>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</si>
  <si>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</si>
  <si>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</si>
  <si>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</si>
  <si>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</si>
  <si>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</si>
  <si>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</si>
  <si>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</si>
  <si>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</si>
  <si>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</si>
  <si>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</si>
  <si>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</si>
  <si>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</si>
  <si>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</si>
  <si>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</si>
  <si>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</si>
  <si>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</si>
  <si>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</si>
  <si>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</si>
  <si>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</si>
  <si>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</si>
  <si>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</si>
  <si>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</si>
  <si>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</si>
  <si>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</si>
  <si>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</si>
  <si>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</si>
  <si>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</si>
  <si>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</si>
  <si>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</si>
  <si>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</si>
  <si>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</si>
  <si>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</si>
  <si>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</si>
  <si>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</si>
  <si>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</si>
  <si>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</si>
  <si>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</si>
  <si>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</si>
  <si>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</si>
  <si>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</si>
  <si>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</si>
  <si>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</si>
  <si>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</si>
  <si>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</si>
  <si>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</si>
  <si>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</si>
  <si>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</si>
  <si>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</si>
  <si>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</si>
  <si>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</si>
  <si>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</si>
  <si>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</si>
  <si>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</si>
  <si>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</si>
  <si>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</si>
  <si>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</si>
  <si>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</si>
  <si>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</si>
  <si>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</si>
  <si>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</si>
  <si>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</si>
  <si>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</si>
  <si>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</si>
  <si>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</si>
  <si>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</si>
  <si>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</si>
  <si>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</si>
  <si>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</si>
  <si>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</si>
  <si>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</si>
  <si>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</si>
  <si>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</si>
  <si>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</si>
  <si>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</si>
  <si>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</si>
  <si>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</si>
  <si>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</si>
  <si>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</si>
  <si>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</si>
  <si>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</si>
  <si>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</si>
  <si>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</si>
  <si>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</si>
  <si>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</si>
  <si>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</si>
  <si>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</si>
  <si>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</si>
  <si>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</si>
  <si>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</si>
  <si>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</si>
  <si>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</si>
  <si>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</si>
  <si>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</si>
  <si>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</si>
  <si>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</si>
  <si>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</si>
  <si>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</si>
  <si>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</si>
  <si>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</si>
  <si>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</si>
  <si>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</si>
  <si>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</si>
  <si>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</si>
  <si>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</si>
  <si>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</si>
  <si>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</si>
  <si>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</si>
  <si>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</si>
  <si>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</si>
  <si>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</si>
  <si>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</si>
  <si>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</si>
  <si>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</si>
  <si>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</si>
  <si>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</si>
  <si>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</si>
  <si>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</si>
  <si>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</si>
  <si>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</si>
  <si>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</si>
  <si>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</si>
  <si>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</si>
  <si>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</si>
  <si>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</si>
  <si>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</si>
  <si>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</si>
  <si>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</si>
  <si>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</si>
  <si>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</si>
  <si>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</si>
  <si>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</si>
  <si>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</si>
  <si>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</si>
  <si>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</si>
  <si>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</si>
  <si>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</si>
  <si>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</si>
  <si>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</si>
  <si>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</si>
  <si>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</si>
  <si>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</si>
  <si>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</si>
  <si>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</si>
  <si>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</si>
  <si>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</si>
  <si>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</si>
  <si>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</si>
  <si>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</si>
  <si>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</si>
  <si>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</si>
  <si>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</si>
  <si>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</si>
  <si>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</si>
  <si>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</si>
  <si>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</si>
  <si>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</si>
  <si>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</si>
  <si>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</si>
  <si>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</si>
  <si>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</si>
  <si>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</si>
  <si>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</si>
  <si>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</si>
  <si>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</si>
  <si>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</si>
  <si>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</si>
  <si>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</si>
  <si>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</si>
  <si>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</si>
  <si>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</si>
  <si>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</si>
  <si>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</si>
  <si>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</si>
  <si>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</si>
  <si>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</si>
  <si>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</si>
  <si>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</si>
  <si>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</si>
  <si>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</si>
  <si>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</si>
  <si>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</si>
  <si>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</si>
  <si>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</si>
  <si>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</si>
  <si>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</si>
  <si>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</si>
  <si>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</si>
  <si>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</si>
  <si>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</si>
  <si>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</si>
  <si>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</si>
  <si>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</si>
  <si>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</si>
  <si>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</si>
  <si>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</si>
  <si>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</si>
  <si>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</si>
  <si>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</si>
  <si>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</si>
  <si>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</si>
  <si>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</si>
  <si>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</si>
  <si>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</si>
  <si>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</si>
  <si>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</si>
  <si>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</si>
  <si>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</si>
  <si>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</si>
  <si>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</si>
  <si>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</si>
  <si>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</si>
  <si>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</si>
  <si>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</si>
  <si>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</si>
  <si>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</si>
  <si>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</si>
  <si>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</si>
  <si>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</si>
  <si>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</si>
  <si>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</si>
  <si>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</si>
  <si>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</si>
  <si>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</si>
  <si>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</si>
  <si>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</si>
  <si>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</si>
  <si>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</si>
  <si>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</si>
  <si>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</si>
  <si>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</si>
  <si>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</si>
  <si>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</si>
  <si>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</si>
  <si>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</si>
  <si>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</si>
  <si>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</si>
  <si>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</si>
  <si>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</si>
  <si>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</si>
  <si>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</si>
  <si>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</si>
  <si>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</si>
  <si>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</si>
  <si>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</si>
  <si>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</si>
  <si>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</si>
  <si>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</si>
  <si>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</si>
  <si>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</si>
  <si>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</si>
  <si>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</si>
  <si>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</si>
  <si>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</si>
  <si>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</si>
  <si>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</si>
  <si>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</si>
  <si>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</si>
  <si>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</si>
  <si>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</si>
  <si>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</si>
  <si>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</si>
  <si>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</si>
  <si>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</si>
  <si>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</si>
  <si>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</si>
  <si>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</si>
  <si>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</si>
  <si>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</si>
  <si>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</si>
  <si>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</si>
  <si>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</si>
  <si>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</si>
  <si>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</si>
  <si>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</si>
  <si>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</si>
  <si>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</si>
  <si>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</si>
  <si>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</si>
  <si>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</si>
  <si>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</si>
  <si>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</si>
  <si>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</si>
  <si>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</si>
  <si>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</si>
  <si>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</si>
  <si>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</si>
  <si>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</si>
  <si>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</si>
  <si>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</si>
  <si>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</si>
  <si>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</si>
  <si>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</si>
  <si>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</si>
  <si>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</si>
  <si>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</si>
  <si>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</si>
  <si>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</si>
  <si>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</si>
  <si>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</si>
  <si>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</si>
  <si>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</si>
  <si>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</si>
  <si>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</si>
  <si>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</si>
  <si>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</si>
  <si>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</si>
  <si>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</si>
  <si>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</si>
  <si>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</si>
  <si>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</si>
  <si>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</si>
  <si>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</si>
  <si>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</si>
  <si>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</si>
  <si>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</si>
  <si>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</si>
  <si>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</si>
  <si>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</si>
  <si>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</si>
  <si>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</si>
  <si>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</si>
  <si>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</si>
  <si>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</si>
  <si>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</si>
  <si>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</si>
  <si>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</si>
  <si>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</si>
  <si>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</si>
  <si>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</si>
  <si>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</si>
  <si>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</si>
  <si>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</si>
  <si>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</si>
  <si>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</si>
  <si>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</si>
  <si>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</si>
  <si>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</si>
  <si>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</si>
  <si>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</si>
  <si>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</si>
  <si>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</si>
  <si>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</si>
  <si>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</si>
  <si>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</si>
  <si>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</si>
  <si>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</si>
  <si>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</si>
  <si>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</si>
  <si>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</si>
  <si>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</si>
  <si>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</si>
  <si>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</si>
  <si>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</si>
  <si>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</si>
  <si>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</si>
  <si>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</si>
  <si>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</si>
  <si>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</si>
  <si>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</si>
  <si>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</si>
  <si>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</si>
  <si>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</si>
  <si>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</si>
  <si>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</si>
  <si>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</si>
  <si>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</si>
  <si>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</si>
  <si>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</si>
  <si>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</si>
  <si>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</si>
  <si>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</si>
  <si>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</si>
  <si>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</si>
  <si>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</si>
  <si>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</si>
  <si>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</si>
  <si>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</si>
  <si>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</si>
  <si>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</si>
  <si>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</si>
  <si>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</si>
  <si>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</si>
  <si>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</si>
  <si>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</si>
  <si>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</si>
  <si>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</si>
  <si>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</si>
  <si>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</si>
  <si>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</si>
  <si>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</si>
  <si>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</si>
  <si>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</si>
  <si>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</si>
  <si>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</si>
  <si>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</si>
  <si>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</si>
  <si>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</si>
  <si>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</si>
  <si>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</si>
  <si>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</si>
  <si>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</si>
  <si>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</si>
  <si>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</si>
  <si>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</si>
  <si>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</si>
  <si>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</si>
  <si>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</si>
  <si>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</si>
  <si>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</si>
  <si>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</si>
  <si>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</si>
  <si>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</si>
  <si>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</si>
  <si>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</si>
  <si>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</si>
  <si>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</si>
  <si>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</si>
  <si>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</si>
  <si>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</si>
  <si>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</si>
  <si>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</si>
  <si>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</si>
  <si>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</si>
  <si>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</si>
  <si>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</si>
  <si>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</si>
  <si>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</si>
  <si>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</si>
  <si>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</si>
  <si>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</si>
  <si>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</si>
  <si>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</si>
  <si>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</si>
  <si>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</si>
  <si>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</si>
  <si>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</si>
  <si>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</si>
  <si>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</si>
  <si>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</si>
  <si>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</si>
  <si>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</si>
  <si>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</si>
  <si>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</si>
  <si>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</si>
  <si>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</si>
  <si>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</si>
  <si>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</si>
  <si>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</si>
  <si>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</si>
  <si>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</si>
  <si>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</si>
  <si>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</si>
  <si>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</si>
  <si>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</si>
  <si>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</si>
  <si>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</si>
  <si>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</si>
  <si>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</si>
  <si>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</si>
  <si>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</si>
  <si>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</si>
  <si>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</si>
  <si>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</si>
  <si>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</si>
  <si>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</si>
  <si>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</si>
  <si>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</si>
  <si>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</si>
  <si>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</si>
  <si>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</si>
  <si>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</si>
  <si>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</si>
  <si>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</si>
  <si>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</si>
  <si>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</si>
  <si>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</si>
  <si>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</si>
  <si>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</si>
  <si>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</si>
  <si>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</si>
  <si>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</si>
  <si>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</si>
  <si>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</si>
  <si>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</si>
  <si>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</si>
  <si>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</si>
  <si>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</si>
  <si>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</si>
  <si>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</si>
  <si>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</si>
  <si>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</si>
  <si>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</si>
  <si>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</si>
  <si>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</si>
  <si>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</si>
  <si>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</si>
  <si>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</si>
  <si>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</si>
  <si>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</si>
  <si>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</si>
  <si>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</si>
  <si>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</si>
  <si>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</si>
  <si>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</si>
  <si>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</si>
  <si>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</si>
  <si>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</si>
  <si>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</si>
  <si>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</si>
  <si>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</si>
  <si>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</si>
  <si>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</si>
  <si>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</si>
  <si>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</si>
  <si>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</si>
  <si>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</si>
  <si>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</si>
  <si>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</si>
  <si>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</si>
  <si>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</si>
  <si>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</si>
  <si>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</si>
  <si>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</si>
  <si>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</si>
  <si>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</si>
  <si>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</si>
  <si>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</si>
  <si>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</si>
  <si>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</si>
  <si>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</si>
  <si>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</si>
  <si>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</si>
  <si>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</si>
  <si>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</si>
  <si>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</si>
  <si>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</si>
  <si>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</si>
  <si>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</si>
  <si>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</si>
  <si>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</si>
  <si>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</si>
  <si>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</si>
  <si>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</si>
  <si>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</si>
  <si>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</si>
  <si>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</si>
  <si>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</si>
  <si>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</si>
  <si>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</si>
  <si>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</si>
  <si>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</si>
  <si>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</si>
  <si>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</si>
  <si>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</si>
  <si>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</si>
  <si>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</si>
  <si>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</si>
  <si>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</si>
  <si>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</si>
  <si>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</si>
  <si>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</si>
  <si>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</si>
  <si>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</si>
  <si>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</si>
  <si>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</si>
  <si>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</si>
  <si>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</si>
  <si>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</si>
  <si>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</si>
  <si>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</si>
  <si>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</si>
  <si>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</si>
  <si>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</si>
  <si>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</si>
  <si>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</si>
  <si>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</si>
  <si>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</si>
  <si>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</si>
  <si>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</si>
  <si>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</si>
  <si>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</si>
  <si>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</si>
  <si>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</si>
  <si>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</si>
  <si>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</si>
  <si>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</si>
  <si>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</si>
  <si>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</si>
  <si>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</si>
  <si>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</si>
  <si>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</si>
  <si>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</si>
  <si>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</si>
  <si>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</si>
  <si>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</si>
  <si>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</si>
  <si>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</si>
  <si>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</si>
  <si>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</si>
  <si>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</si>
  <si>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</si>
  <si>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</si>
  <si>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</si>
  <si>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</si>
  <si>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</si>
  <si>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</si>
  <si>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</si>
  <si>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</si>
  <si>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</si>
  <si>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</si>
  <si>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</si>
  <si>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</si>
  <si>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</si>
  <si>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</si>
  <si>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</si>
  <si>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</si>
  <si>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</si>
  <si>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</si>
  <si>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</si>
  <si>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</si>
  <si>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</si>
  <si>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</si>
  <si>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</si>
  <si>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</si>
  <si>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</si>
  <si>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</si>
  <si>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</si>
  <si>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</si>
  <si>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</si>
  <si>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</si>
  <si>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</si>
  <si>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</si>
  <si>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</si>
  <si>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</si>
  <si>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</si>
  <si>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</si>
  <si>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</si>
  <si>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</si>
  <si>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</si>
  <si>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</si>
  <si>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</si>
  <si>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</si>
  <si>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</si>
  <si>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</si>
  <si>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</si>
  <si>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</si>
  <si>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</si>
  <si>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</si>
  <si>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</si>
  <si>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</si>
  <si>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</si>
  <si>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</si>
  <si>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</si>
  <si>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</si>
  <si>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</si>
  <si>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</si>
  <si>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</si>
  <si>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</si>
  <si>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</si>
  <si>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</si>
  <si>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</si>
  <si>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</si>
  <si>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</si>
  <si>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</si>
  <si>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</si>
  <si>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</si>
  <si>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</si>
  <si>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</si>
  <si>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</si>
  <si>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</si>
  <si>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</si>
  <si>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</si>
  <si>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</si>
  <si>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</si>
  <si>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</si>
  <si>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</si>
  <si>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</si>
  <si>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</si>
  <si>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</si>
  <si>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</si>
  <si>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</si>
  <si>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</si>
  <si>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</si>
  <si>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</si>
  <si>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</si>
  <si>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</si>
  <si>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</si>
  <si>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</si>
  <si>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</si>
  <si>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</si>
  <si>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</si>
  <si>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</si>
  <si>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</si>
  <si>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</si>
  <si>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</si>
  <si>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</si>
  <si>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</si>
  <si>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</si>
  <si>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</si>
  <si>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</si>
  <si>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</si>
  <si>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</si>
  <si>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</si>
  <si>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</si>
  <si>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</si>
  <si>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</si>
  <si>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</si>
  <si>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</si>
  <si>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</si>
  <si>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</si>
  <si>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</si>
  <si>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</si>
  <si>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</si>
  <si>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</si>
  <si>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</si>
  <si>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</si>
  <si>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</si>
  <si>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</si>
  <si>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</si>
  <si>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</si>
  <si>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</si>
  <si>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</si>
  <si>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</si>
  <si>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</si>
  <si>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</si>
  <si>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</si>
  <si>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</si>
  <si>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</si>
  <si>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</si>
  <si>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</si>
  <si>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</si>
  <si>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</si>
  <si>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</si>
  <si>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</si>
  <si>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</si>
  <si>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</si>
  <si>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</si>
  <si>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</si>
  <si>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</si>
  <si>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</si>
  <si>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</si>
  <si>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</si>
  <si>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</si>
  <si>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</si>
  <si>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</si>
  <si>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</si>
  <si>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</si>
  <si>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</si>
  <si>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</si>
  <si>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</si>
  <si>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</si>
  <si>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</si>
  <si>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</si>
  <si>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</si>
  <si>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</si>
  <si>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</si>
  <si>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</si>
  <si>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</si>
  <si>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</si>
  <si>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</si>
  <si>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</si>
  <si>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</si>
  <si>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</si>
  <si>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</si>
  <si>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</si>
  <si>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</si>
  <si>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</si>
  <si>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</si>
  <si>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</si>
  <si>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</si>
  <si>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</si>
  <si>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</si>
  <si>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</si>
  <si>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</si>
  <si>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</si>
  <si>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</si>
  <si>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</si>
  <si>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</si>
  <si>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</si>
  <si>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</si>
  <si>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</si>
  <si>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</si>
  <si>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</si>
  <si>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</si>
  <si>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</si>
  <si>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</si>
  <si>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</si>
  <si>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</si>
  <si>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</si>
  <si>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</si>
  <si>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</si>
  <si>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</si>
  <si>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</si>
  <si>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</si>
  <si>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</si>
  <si>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</si>
  <si>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</si>
  <si>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</si>
  <si>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</si>
  <si>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</si>
  <si>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</si>
  <si>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</si>
  <si>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</si>
  <si>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</si>
  <si>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</si>
  <si>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</si>
  <si>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</si>
  <si>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</si>
  <si>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</si>
  <si>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</si>
  <si>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</si>
  <si>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</si>
  <si>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</si>
  <si>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</si>
  <si>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</si>
  <si>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</si>
  <si>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</si>
  <si>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</si>
  <si>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</si>
  <si>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</si>
  <si>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</si>
  <si>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</si>
  <si>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</si>
  <si>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</si>
  <si>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</si>
  <si>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</si>
  <si>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</si>
  <si>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</si>
  <si>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</si>
  <si>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</si>
  <si>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</si>
  <si>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</si>
  <si>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</si>
  <si>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</si>
  <si>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</si>
  <si>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</si>
  <si>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</si>
  <si>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</si>
  <si>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</si>
  <si>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</si>
  <si>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</si>
  <si>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</si>
  <si>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</si>
  <si>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</si>
  <si>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</si>
  <si>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</si>
  <si>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</si>
  <si>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</si>
  <si>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</si>
  <si>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</si>
  <si>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</si>
  <si>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</si>
  <si>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</si>
  <si>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</si>
  <si>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</si>
  <si>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</si>
  <si>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</si>
  <si>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</si>
  <si>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</si>
  <si>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</si>
  <si>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</si>
  <si>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</si>
  <si>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</si>
  <si>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</si>
  <si>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</si>
  <si>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</si>
  <si>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</si>
  <si>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</si>
  <si>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</si>
  <si>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</si>
  <si>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</si>
  <si>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</si>
  <si>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</si>
  <si>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</si>
  <si>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</si>
  <si>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</si>
  <si>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</si>
  <si>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</si>
  <si>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</si>
  <si>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</si>
  <si>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</si>
  <si>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</si>
  <si>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</si>
  <si>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</si>
  <si>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</si>
  <si>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</si>
  <si>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</si>
  <si>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</si>
  <si>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</si>
  <si>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</si>
  <si>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</si>
  <si>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</si>
  <si>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</si>
  <si>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</si>
  <si>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</si>
  <si>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</si>
  <si>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</si>
  <si>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</si>
  <si>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</si>
  <si>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</si>
  <si>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</si>
  <si>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</si>
  <si>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</si>
  <si>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</si>
  <si>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</si>
  <si>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</si>
  <si>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</si>
  <si>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</si>
  <si>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</si>
  <si>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</si>
  <si>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</si>
  <si>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</si>
  <si>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</si>
  <si>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</si>
  <si>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</si>
  <si>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</si>
  <si>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Κανένας Περιορισμός</t>
  </si>
  <si>
    <t>Δεν Παρέχεται</t>
  </si>
  <si>
    <t>https://www.wind.gr/gr/wind/upostirixi/upostirixi-statheri-internet/</t>
  </si>
  <si>
    <t>Για την ομαλή και ασφαλή λειτουργία του δικτύου IP, η Wind έχει υλοποιήσει ένα μηχανισμό άμεσης διακόπης και επανασύνδεσης (refresh) της σύνδεσης των συνδρομητών ίντερνετ κάθε 72 ώρες. Ο μηχανισμός αυτός επεμβαίνει μόνο στην περίπτωση πλήρους χρήσης της σύνδεσης για 72 συνεχείς ώρες.</t>
  </si>
  <si>
    <t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</si>
</sst>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0" fontId="0" fillId="0" borderId="57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164" fontId="0" fillId="0" borderId="8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4" fontId="0" fillId="0" borderId="8" xfId="0" applyNumberFormat="1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1" fontId="0" fillId="0" borderId="8" xfId="0" applyNumberFormat="1" applyBorder="1" applyAlignment="1" applyProtection="1">
      <alignment horizontal="right" vertical="top" wrapText="1"/>
      <protection locked="0"/>
    </xf>
    <xf numFmtId="1" fontId="0" fillId="0" borderId="5" xfId="0" applyNumberFormat="1" applyBorder="1" applyAlignment="1" applyProtection="1">
      <alignment horizontal="right" vertical="top" wrapText="1"/>
      <protection locked="0"/>
    </xf>
    <xf numFmtId="1" fontId="0" fillId="0" borderId="14" xfId="0" applyNumberFormat="1" applyBorder="1" applyAlignment="1" applyProtection="1">
      <alignment horizontal="right" vertical="top" wrapText="1"/>
      <protection locked="0"/>
    </xf>
    <xf numFmtId="1" fontId="0" fillId="0" borderId="34" xfId="0" applyNumberFormat="1" applyBorder="1" applyAlignment="1" applyProtection="1">
      <alignment horizontal="right" vertical="top" wrapText="1"/>
      <protection locked="0"/>
    </xf>
    <xf numFmtId="0" fontId="0" fillId="0" borderId="8" xfId="0" quotePrefix="1" applyBorder="1" applyAlignment="1" applyProtection="1">
      <alignment horizontal="left" vertical="top" wrapText="1"/>
      <protection locked="0"/>
    </xf>
    <xf numFmtId="1" fontId="0" fillId="0" borderId="14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1" fontId="0" fillId="0" borderId="5" xfId="0" applyNumberFormat="1" applyBorder="1" applyAlignment="1" applyProtection="1">
      <alignment horizontal="left" vertical="top" wrapText="1"/>
      <protection locked="0"/>
    </xf>
    <xf numFmtId="1" fontId="0" fillId="0" borderId="8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zoomScale="85" zoomScaleNormal="85" workbookViewId="0">
      <selection activeCell="B19" sqref="B19"/>
    </sheetView>
  </sheetViews>
  <sheetFormatPr defaultColWidth="0" defaultRowHeight="15" zeroHeight="1" x14ac:dyDescent="0.25"/>
  <cols>
    <col min="1" max="1" width="41" style="160" customWidth="1"/>
    <col min="2" max="2" width="14.85546875" style="160" customWidth="1"/>
    <col min="3" max="3" width="58.7109375" style="160" customWidth="1"/>
    <col min="4" max="4" width="19.42578125" style="160" hidden="1" customWidth="1"/>
    <col min="5" max="5" width="0" style="160" hidden="1" customWidth="1"/>
    <col min="6" max="16384" width="9.140625" style="160" hidden="1"/>
  </cols>
  <sheetData>
    <row r="1" spans="1:5" x14ac:dyDescent="0.25">
      <c r="A1" s="163"/>
      <c r="B1" s="163"/>
      <c r="C1" s="9" t="s">
        <v>28</v>
      </c>
    </row>
    <row r="2" spans="1:5" ht="22.5" customHeight="1" x14ac:dyDescent="0.25">
      <c r="A2" s="9" t="s">
        <v>28</v>
      </c>
      <c r="B2" s="9"/>
      <c r="C2" s="85" t="s">
        <v>922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WIND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57">
        <v>2020</v>
      </c>
    </row>
    <row r="7" spans="1:5" ht="22.5" customHeight="1" x14ac:dyDescent="0.25">
      <c r="A7" s="9" t="s">
        <v>449</v>
      </c>
      <c r="B7" s="9"/>
      <c r="C7" s="158">
        <v>44013</v>
      </c>
    </row>
    <row r="8" spans="1:5" ht="22.5" customHeight="1" x14ac:dyDescent="0.25">
      <c r="A8" s="9" t="s">
        <v>450</v>
      </c>
      <c r="B8" s="9"/>
      <c r="C8" s="158">
        <v>44196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</v>
      </c>
    </row>
    <row r="11" spans="1:5" ht="67.5" customHeight="1" x14ac:dyDescent="0.25">
      <c r="A11" s="9" t="s">
        <v>421</v>
      </c>
      <c r="B11" s="9"/>
      <c r="C11" s="26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1"/>
    </row>
    <row r="15" spans="1:5" ht="31.5" customHeight="1" thickBot="1" x14ac:dyDescent="0.3">
      <c r="A15" s="16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9.5" thickBot="1" x14ac:dyDescent="0.3">
      <c r="A16" s="33" t="s">
        <v>488</v>
      </c>
      <c r="B16" s="159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2"/>
    </row>
    <row r="17" spans="1:3" ht="19.5" thickBot="1" x14ac:dyDescent="0.3">
      <c r="A17" s="33" t="s">
        <v>490</v>
      </c>
      <c r="B17" s="159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5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5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59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59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59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59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0" t="s">
        <v>932</v>
      </c>
      <c r="B24" s="299"/>
      <c r="C24" s="299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Normal="100" workbookViewId="0">
      <selection activeCell="C3" sqref="C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17.5703125" style="160" customWidth="1"/>
    <col min="4" max="4" width="25.28515625" style="238" hidden="1" customWidth="1"/>
    <col min="5" max="5" width="37.140625" style="238" hidden="1" customWidth="1"/>
    <col min="6" max="6" width="38.140625" style="160" customWidth="1"/>
    <col min="7" max="7" width="19.85546875" style="160" customWidth="1"/>
    <col min="8" max="8" width="28.28515625" style="160" customWidth="1"/>
    <col min="9" max="9" width="16.28515625" style="160" hidden="1" customWidth="1"/>
    <col min="10" max="10" width="36.140625" style="160" customWidth="1"/>
    <col min="11" max="11" width="28.28515625" style="160" hidden="1" customWidth="1"/>
    <col min="12" max="12" width="13.5703125" style="160" customWidth="1"/>
    <col min="13" max="13" width="31.28515625" style="160" customWidth="1"/>
    <col min="14" max="14" width="12.28515625" style="238" hidden="1" customWidth="1"/>
    <col min="15" max="15" width="45.7109375" style="160" customWidth="1"/>
    <col min="16" max="17" width="31.28515625" style="160" customWidth="1"/>
    <col min="18" max="18" width="5.7109375" style="160" customWidth="1"/>
    <col min="19" max="19" width="16.140625" style="160" customWidth="1"/>
    <col min="20" max="20" width="70.140625" style="160" customWidth="1"/>
    <col min="21" max="26" width="9.140625" style="183" customWidth="1"/>
    <col min="27" max="16384" width="9.140625" style="160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6" t="s">
        <v>905</v>
      </c>
      <c r="E1" s="21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5" t="s">
        <v>519</v>
      </c>
      <c r="N1" s="21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0" t="s">
        <v>571</v>
      </c>
      <c r="M2" s="4" t="s">
        <v>560</v>
      </c>
      <c r="N2" s="21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9" t="s">
        <v>452</v>
      </c>
    </row>
    <row r="3" spans="1:25" ht="16.5" thickTop="1" thickBot="1" x14ac:dyDescent="0.3">
      <c r="A3" s="40" t="s">
        <v>468</v>
      </c>
      <c r="B3" s="48" t="str">
        <f>ΓΕΝΙΚΑ!C4</f>
        <v>WIND</v>
      </c>
      <c r="C3" s="138" t="s">
        <v>435</v>
      </c>
      <c r="D3" s="221">
        <f>IF(S3="",IF(ΓΕΝΙΚΑ!$B$20="ΝΑΙ",15300,""),"")</f>
        <v>15300</v>
      </c>
      <c r="E3" s="257" t="str">
        <f>IF(ΓΕΝΙΚΑ!$B$20="ΝΑΙ","ΠΑΝΕΛΛΑΔΙΚΑ","")</f>
        <v>ΠΑΝΕΛΛΑΔΙΚΑ</v>
      </c>
      <c r="F3" s="41" t="s">
        <v>555</v>
      </c>
      <c r="G3" s="5">
        <v>50</v>
      </c>
      <c r="H3" s="173">
        <v>4.3600000000000003</v>
      </c>
      <c r="I3" s="236">
        <f>IF(ISNUMBER(H3),ROUND(H3,2),"N/A")</f>
        <v>4.3600000000000003</v>
      </c>
      <c r="J3" s="173">
        <v>7.64</v>
      </c>
      <c r="K3" s="140">
        <f>IF(ISNUMBER(J3),ROUND(J3,2),"N/A")</f>
        <v>7.64</v>
      </c>
      <c r="L3" s="41">
        <f>IF(AND(ISNUMBER(H3),ISNUMBER(J3)),ROUND(H3+J3,0),IF(ISNUMBER(H3),ROUND(H3,0),IF(ISNUMBER(J3),ROUND(J3,0),"N/A")))</f>
        <v>12</v>
      </c>
      <c r="M3" s="287"/>
      <c r="N3" s="233" t="str">
        <f>IF(ISNUMBER(M3),ROUND(M3,2),"")</f>
        <v/>
      </c>
      <c r="O3" s="277" t="s">
        <v>925</v>
      </c>
      <c r="P3" s="245" t="s">
        <v>925</v>
      </c>
      <c r="Q3" s="246" t="s">
        <v>925</v>
      </c>
      <c r="S3" s="130" t="str">
        <f>IF(T3="","","ΣΦΑΛΜΑ")</f>
        <v/>
      </c>
      <c r="T3" s="18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3" t="s">
        <v>575</v>
      </c>
      <c r="V3" s="183" t="s">
        <v>576</v>
      </c>
      <c r="W3" s="183" t="s">
        <v>577</v>
      </c>
      <c r="X3" s="183" t="s">
        <v>578</v>
      </c>
      <c r="Y3" s="183" t="s">
        <v>579</v>
      </c>
    </row>
    <row r="4" spans="1:25" x14ac:dyDescent="0.25">
      <c r="A4" s="42" t="str">
        <f t="shared" ref="A4:A30" si="0">A$3</f>
        <v>B05</v>
      </c>
      <c r="B4" s="275" t="str">
        <f>B$3</f>
        <v>WIND</v>
      </c>
      <c r="C4" s="39" t="str">
        <f t="shared" ref="C4:C30" si="1">$C$3</f>
        <v>Έμμεση</v>
      </c>
      <c r="D4" s="209">
        <f>IF(S4="",IF(ΓΕΝΙΚΑ!$B$20="ΝΑΙ",14664,""),"")</f>
        <v>14664</v>
      </c>
      <c r="E4" s="25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74">
        <v>3.51</v>
      </c>
      <c r="I4" s="236">
        <f t="shared" ref="I4:I30" si="2">IF(ISNUMBER(H4),ROUND(H4,2),"N/A")</f>
        <v>3.51</v>
      </c>
      <c r="J4" s="174">
        <v>6.49</v>
      </c>
      <c r="K4" s="236">
        <f t="shared" ref="K4:K30" si="3">IF(ISNUMBER(J4),ROUND(J4,2),"N/A")</f>
        <v>6.49</v>
      </c>
      <c r="L4" s="7">
        <f t="shared" ref="L4:L30" si="4">IF(AND(ISNUMBER(H4),ISNUMBER(J4)),ROUND(H4+J4,0),IF(ISNUMBER(H4),ROUND(H4,0),IF(ISNUMBER(J4),ROUND(J4,0),"N/A")))</f>
        <v>10</v>
      </c>
      <c r="M4" s="288"/>
      <c r="N4" s="244" t="str">
        <f t="shared" ref="N4:N16" si="5">IF(ISNUMBER(M4),ROUND(M4,2),"")</f>
        <v/>
      </c>
      <c r="O4" s="250" t="str">
        <f>O$3</f>
        <v/>
      </c>
      <c r="P4" s="251" t="str">
        <f t="shared" ref="P4:Q30" si="6">P$3</f>
        <v/>
      </c>
      <c r="Q4" s="252" t="str">
        <f t="shared" si="6"/>
        <v/>
      </c>
      <c r="S4" s="130" t="str">
        <f t="shared" ref="S4:S30" si="7">IF(T4="","","ΣΦΑΛΜΑ")</f>
        <v/>
      </c>
      <c r="T4" s="18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3" t="s">
        <v>575</v>
      </c>
      <c r="V4" s="183" t="s">
        <v>576</v>
      </c>
      <c r="W4" s="183" t="s">
        <v>577</v>
      </c>
      <c r="X4" s="183" t="s">
        <v>578</v>
      </c>
      <c r="Y4" s="183" t="s">
        <v>579</v>
      </c>
    </row>
    <row r="5" spans="1:25" x14ac:dyDescent="0.25">
      <c r="A5" s="42" t="str">
        <f t="shared" si="0"/>
        <v>B05</v>
      </c>
      <c r="B5" s="275" t="str">
        <f t="shared" ref="B5:B30" si="8">B$3</f>
        <v>WIND</v>
      </c>
      <c r="C5" s="39" t="str">
        <f t="shared" si="1"/>
        <v>Έμμεση</v>
      </c>
      <c r="D5" s="222">
        <f>IF(S5="",IF(ΓΕΝΙΚΑ!$B$20="ΝΑΙ",14666,""),"")</f>
        <v>14666</v>
      </c>
      <c r="E5" s="259" t="str">
        <f>IF(ΓΕΝΙΚΑ!$B$20="ΝΑΙ","Π. ΑΤΤΙΚΗΣ","")</f>
        <v>Π. ΑΤΤΙΚΗΣ</v>
      </c>
      <c r="F5" s="7" t="s">
        <v>40</v>
      </c>
      <c r="G5" s="7">
        <v>50</v>
      </c>
      <c r="H5" s="174">
        <v>4.41</v>
      </c>
      <c r="I5" s="236">
        <f t="shared" si="2"/>
        <v>4.41</v>
      </c>
      <c r="J5" s="174">
        <v>5.59</v>
      </c>
      <c r="K5" s="236">
        <f t="shared" si="3"/>
        <v>5.59</v>
      </c>
      <c r="L5" s="7">
        <f t="shared" si="4"/>
        <v>10</v>
      </c>
      <c r="M5" s="288"/>
      <c r="N5" s="244" t="str">
        <f t="shared" si="5"/>
        <v/>
      </c>
      <c r="O5" s="250" t="str">
        <f t="shared" ref="O5:O30" si="9">O$3</f>
        <v/>
      </c>
      <c r="P5" s="251" t="str">
        <f t="shared" si="6"/>
        <v/>
      </c>
      <c r="Q5" s="252" t="str">
        <f t="shared" si="6"/>
        <v/>
      </c>
      <c r="S5" s="130" t="str">
        <f t="shared" si="7"/>
        <v/>
      </c>
      <c r="T5" s="18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3" t="s">
        <v>575</v>
      </c>
      <c r="V5" s="183" t="s">
        <v>576</v>
      </c>
      <c r="W5" s="183" t="s">
        <v>577</v>
      </c>
      <c r="X5" s="183" t="s">
        <v>578</v>
      </c>
      <c r="Y5" s="183" t="s">
        <v>579</v>
      </c>
    </row>
    <row r="6" spans="1:25" x14ac:dyDescent="0.25">
      <c r="A6" s="42" t="str">
        <f t="shared" si="0"/>
        <v>B05</v>
      </c>
      <c r="B6" s="275" t="str">
        <f t="shared" si="8"/>
        <v>WIND</v>
      </c>
      <c r="C6" s="39" t="str">
        <f t="shared" si="1"/>
        <v>Έμμεση</v>
      </c>
      <c r="D6" s="209">
        <f>IF(S3="",IF(ΓΕΝΙΚΑ!$B$20="ΝΑΙ",14668,""),"")</f>
        <v>14668</v>
      </c>
      <c r="E6" s="25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74">
        <v>3.99</v>
      </c>
      <c r="I6" s="236">
        <f t="shared" si="2"/>
        <v>3.99</v>
      </c>
      <c r="J6" s="174">
        <v>7.01</v>
      </c>
      <c r="K6" s="236">
        <f t="shared" si="3"/>
        <v>7.01</v>
      </c>
      <c r="L6" s="7">
        <f t="shared" si="4"/>
        <v>11</v>
      </c>
      <c r="M6" s="288"/>
      <c r="N6" s="244" t="str">
        <f t="shared" si="5"/>
        <v/>
      </c>
      <c r="O6" s="250" t="str">
        <f t="shared" si="9"/>
        <v/>
      </c>
      <c r="P6" s="251" t="str">
        <f t="shared" si="6"/>
        <v/>
      </c>
      <c r="Q6" s="252" t="str">
        <f t="shared" si="6"/>
        <v/>
      </c>
      <c r="S6" s="130" t="str">
        <f t="shared" si="7"/>
        <v/>
      </c>
      <c r="T6" s="18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3" t="s">
        <v>575</v>
      </c>
      <c r="V6" s="183" t="s">
        <v>576</v>
      </c>
      <c r="W6" s="183" t="s">
        <v>577</v>
      </c>
      <c r="X6" s="183" t="s">
        <v>578</v>
      </c>
      <c r="Y6" s="183" t="s">
        <v>579</v>
      </c>
    </row>
    <row r="7" spans="1:25" x14ac:dyDescent="0.25">
      <c r="A7" s="42" t="str">
        <f t="shared" si="0"/>
        <v>B05</v>
      </c>
      <c r="B7" s="275" t="str">
        <f t="shared" si="8"/>
        <v>WIND</v>
      </c>
      <c r="C7" s="39" t="str">
        <f t="shared" si="1"/>
        <v>Έμμεση</v>
      </c>
      <c r="D7" s="222">
        <f>IF(S7="",IF(ΓΕΝΙΚΑ!$B$20="ΝΑΙ",14670,""),"")</f>
        <v>14670</v>
      </c>
      <c r="E7" s="25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74">
        <v>3.13</v>
      </c>
      <c r="I7" s="236">
        <f t="shared" si="2"/>
        <v>3.13</v>
      </c>
      <c r="J7" s="174">
        <v>5.87</v>
      </c>
      <c r="K7" s="236">
        <f t="shared" si="3"/>
        <v>5.87</v>
      </c>
      <c r="L7" s="7">
        <f t="shared" si="4"/>
        <v>9</v>
      </c>
      <c r="M7" s="288"/>
      <c r="N7" s="244" t="str">
        <f t="shared" si="5"/>
        <v/>
      </c>
      <c r="O7" s="250" t="str">
        <f t="shared" si="9"/>
        <v/>
      </c>
      <c r="P7" s="251" t="str">
        <f t="shared" si="6"/>
        <v/>
      </c>
      <c r="Q7" s="252" t="str">
        <f t="shared" si="6"/>
        <v/>
      </c>
      <c r="S7" s="130" t="str">
        <f t="shared" si="7"/>
        <v/>
      </c>
      <c r="T7" s="18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3" t="s">
        <v>575</v>
      </c>
      <c r="V7" s="183" t="s">
        <v>576</v>
      </c>
      <c r="W7" s="183" t="s">
        <v>577</v>
      </c>
      <c r="X7" s="183" t="s">
        <v>578</v>
      </c>
      <c r="Y7" s="183" t="s">
        <v>579</v>
      </c>
    </row>
    <row r="8" spans="1:25" x14ac:dyDescent="0.25">
      <c r="A8" s="42" t="str">
        <f t="shared" si="0"/>
        <v>B05</v>
      </c>
      <c r="B8" s="275" t="str">
        <f t="shared" si="8"/>
        <v>WIND</v>
      </c>
      <c r="C8" s="39" t="str">
        <f t="shared" si="1"/>
        <v>Έμμεση</v>
      </c>
      <c r="D8" s="209">
        <f>IF(S8="",IF(ΓΕΝΙΚΑ!$B$20="ΝΑΙ",14672,""),"")</f>
        <v>14672</v>
      </c>
      <c r="E8" s="25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74">
        <v>3.33</v>
      </c>
      <c r="I8" s="236">
        <f t="shared" si="2"/>
        <v>3.33</v>
      </c>
      <c r="J8" s="174">
        <v>5.67</v>
      </c>
      <c r="K8" s="236">
        <f t="shared" si="3"/>
        <v>5.67</v>
      </c>
      <c r="L8" s="7">
        <f t="shared" si="4"/>
        <v>9</v>
      </c>
      <c r="M8" s="288"/>
      <c r="N8" s="244" t="str">
        <f t="shared" si="5"/>
        <v/>
      </c>
      <c r="O8" s="250" t="str">
        <f t="shared" si="9"/>
        <v/>
      </c>
      <c r="P8" s="251" t="str">
        <f t="shared" si="6"/>
        <v/>
      </c>
      <c r="Q8" s="252" t="str">
        <f t="shared" si="6"/>
        <v/>
      </c>
      <c r="S8" s="130" t="str">
        <f t="shared" si="7"/>
        <v/>
      </c>
      <c r="T8" s="18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3" t="s">
        <v>575</v>
      </c>
      <c r="V8" s="183" t="s">
        <v>576</v>
      </c>
      <c r="W8" s="183" t="s">
        <v>577</v>
      </c>
      <c r="X8" s="183" t="s">
        <v>578</v>
      </c>
      <c r="Y8" s="183" t="s">
        <v>579</v>
      </c>
    </row>
    <row r="9" spans="1:25" x14ac:dyDescent="0.25">
      <c r="A9" s="42" t="str">
        <f t="shared" si="0"/>
        <v>B05</v>
      </c>
      <c r="B9" s="275" t="str">
        <f t="shared" si="8"/>
        <v>WIND</v>
      </c>
      <c r="C9" s="39" t="str">
        <f t="shared" si="1"/>
        <v>Έμμεση</v>
      </c>
      <c r="D9" s="222">
        <f>IF(S9="",IF(ΓΕΝΙΚΑ!$B$20="ΝΑΙ",14674,""),"")</f>
        <v>14674</v>
      </c>
      <c r="E9" s="259" t="str">
        <f>IF(ΓΕΝΙΚΑ!$B$20="ΝΑΙ","Π. ΗΠΕΙΡΟΥ","")</f>
        <v>Π. ΗΠΕΙΡΟΥ</v>
      </c>
      <c r="F9" s="7" t="s">
        <v>407</v>
      </c>
      <c r="G9" s="7">
        <v>50</v>
      </c>
      <c r="H9" s="174">
        <v>3.24</v>
      </c>
      <c r="I9" s="236">
        <f t="shared" si="2"/>
        <v>3.24</v>
      </c>
      <c r="J9" s="174">
        <v>7.76</v>
      </c>
      <c r="K9" s="236">
        <f t="shared" si="3"/>
        <v>7.76</v>
      </c>
      <c r="L9" s="7">
        <f t="shared" si="4"/>
        <v>11</v>
      </c>
      <c r="M9" s="288"/>
      <c r="N9" s="244" t="str">
        <f t="shared" si="5"/>
        <v/>
      </c>
      <c r="O9" s="250" t="str">
        <f t="shared" si="9"/>
        <v/>
      </c>
      <c r="P9" s="251" t="str">
        <f t="shared" si="6"/>
        <v/>
      </c>
      <c r="Q9" s="252" t="str">
        <f t="shared" si="6"/>
        <v/>
      </c>
      <c r="S9" s="130" t="str">
        <f t="shared" si="7"/>
        <v/>
      </c>
      <c r="T9" s="18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3" t="s">
        <v>575</v>
      </c>
      <c r="V9" s="183" t="s">
        <v>576</v>
      </c>
      <c r="W9" s="183" t="s">
        <v>577</v>
      </c>
      <c r="X9" s="183" t="s">
        <v>578</v>
      </c>
      <c r="Y9" s="183" t="s">
        <v>579</v>
      </c>
    </row>
    <row r="10" spans="1:25" x14ac:dyDescent="0.25">
      <c r="A10" s="42" t="str">
        <f t="shared" si="0"/>
        <v>B05</v>
      </c>
      <c r="B10" s="275" t="str">
        <f t="shared" si="8"/>
        <v>WIND</v>
      </c>
      <c r="C10" s="39" t="str">
        <f t="shared" si="1"/>
        <v>Έμμεση</v>
      </c>
      <c r="D10" s="209">
        <f>IF(S10="",IF(ΓΕΝΙΚΑ!$B$20="ΝΑΙ",14676,""),"")</f>
        <v>14676</v>
      </c>
      <c r="E10" s="258" t="str">
        <f>IF(ΓΕΝΙΚΑ!$B$20="ΝΑΙ","Π. ΘΕΣΣΑΛΙΑΣ","")</f>
        <v>Π. ΘΕΣΣΑΛΙΑΣ</v>
      </c>
      <c r="F10" s="24" t="s">
        <v>408</v>
      </c>
      <c r="G10" s="24">
        <v>50</v>
      </c>
      <c r="H10" s="174">
        <v>3.64</v>
      </c>
      <c r="I10" s="236">
        <f t="shared" si="2"/>
        <v>3.64</v>
      </c>
      <c r="J10" s="174">
        <v>6.36</v>
      </c>
      <c r="K10" s="236">
        <f t="shared" si="3"/>
        <v>6.36</v>
      </c>
      <c r="L10" s="7">
        <f t="shared" si="4"/>
        <v>10</v>
      </c>
      <c r="M10" s="288"/>
      <c r="N10" s="244" t="str">
        <f t="shared" si="5"/>
        <v/>
      </c>
      <c r="O10" s="250" t="str">
        <f t="shared" si="9"/>
        <v/>
      </c>
      <c r="P10" s="251" t="str">
        <f t="shared" si="6"/>
        <v/>
      </c>
      <c r="Q10" s="252" t="str">
        <f t="shared" si="6"/>
        <v/>
      </c>
      <c r="S10" s="130" t="str">
        <f t="shared" si="7"/>
        <v/>
      </c>
      <c r="T10" s="18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3" t="s">
        <v>575</v>
      </c>
      <c r="V10" s="183" t="s">
        <v>576</v>
      </c>
      <c r="W10" s="183" t="s">
        <v>577</v>
      </c>
      <c r="X10" s="183" t="s">
        <v>578</v>
      </c>
      <c r="Y10" s="183" t="s">
        <v>579</v>
      </c>
    </row>
    <row r="11" spans="1:25" x14ac:dyDescent="0.25">
      <c r="A11" s="42" t="str">
        <f t="shared" si="0"/>
        <v>B05</v>
      </c>
      <c r="B11" s="275" t="str">
        <f t="shared" si="8"/>
        <v>WIND</v>
      </c>
      <c r="C11" s="39" t="str">
        <f t="shared" si="1"/>
        <v>Έμμεση</v>
      </c>
      <c r="D11" s="222">
        <f>IF(S11="",IF(ΓΕΝΙΚΑ!$B$20="ΝΑΙ",14678,""),"")</f>
        <v>14678</v>
      </c>
      <c r="E11" s="259" t="str">
        <f>IF(ΓΕΝΙΚΑ!$B$20="ΝΑΙ","Π. ΙΟΝΙΩΝ ΝΗΣΩΝ","")</f>
        <v>Π. ΙΟΝΙΩΝ ΝΗΣΩΝ</v>
      </c>
      <c r="F11" s="7" t="s">
        <v>409</v>
      </c>
      <c r="G11" s="7">
        <v>50</v>
      </c>
      <c r="H11" s="174">
        <v>3.93</v>
      </c>
      <c r="I11" s="236">
        <f t="shared" si="2"/>
        <v>3.93</v>
      </c>
      <c r="J11" s="174">
        <v>7.07</v>
      </c>
      <c r="K11" s="236">
        <f t="shared" si="3"/>
        <v>7.07</v>
      </c>
      <c r="L11" s="7">
        <f t="shared" si="4"/>
        <v>11</v>
      </c>
      <c r="M11" s="288"/>
      <c r="N11" s="244" t="str">
        <f t="shared" si="5"/>
        <v/>
      </c>
      <c r="O11" s="250" t="str">
        <f t="shared" si="9"/>
        <v/>
      </c>
      <c r="P11" s="251" t="str">
        <f t="shared" si="6"/>
        <v/>
      </c>
      <c r="Q11" s="252" t="str">
        <f t="shared" si="6"/>
        <v/>
      </c>
      <c r="S11" s="130" t="str">
        <f t="shared" si="7"/>
        <v/>
      </c>
      <c r="T11" s="18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3" t="s">
        <v>575</v>
      </c>
      <c r="V11" s="183" t="s">
        <v>576</v>
      </c>
      <c r="W11" s="183" t="s">
        <v>577</v>
      </c>
      <c r="X11" s="183" t="s">
        <v>578</v>
      </c>
      <c r="Y11" s="183" t="s">
        <v>579</v>
      </c>
    </row>
    <row r="12" spans="1:25" x14ac:dyDescent="0.25">
      <c r="A12" s="42" t="str">
        <f t="shared" si="0"/>
        <v>B05</v>
      </c>
      <c r="B12" s="275" t="str">
        <f t="shared" si="8"/>
        <v>WIND</v>
      </c>
      <c r="C12" s="39" t="str">
        <f t="shared" si="1"/>
        <v>Έμμεση</v>
      </c>
      <c r="D12" s="209">
        <f>IF(S12="",IF(ΓΕΝΙΚΑ!$B$20="ΝΑΙ",14680,""),"")</f>
        <v>14680</v>
      </c>
      <c r="E12" s="25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74">
        <v>4.24</v>
      </c>
      <c r="I12" s="236">
        <f t="shared" si="2"/>
        <v>4.24</v>
      </c>
      <c r="J12" s="174">
        <v>4.76</v>
      </c>
      <c r="K12" s="236">
        <f t="shared" si="3"/>
        <v>4.76</v>
      </c>
      <c r="L12" s="7">
        <f t="shared" si="4"/>
        <v>9</v>
      </c>
      <c r="M12" s="288"/>
      <c r="N12" s="244" t="str">
        <f t="shared" si="5"/>
        <v/>
      </c>
      <c r="O12" s="250" t="str">
        <f t="shared" si="9"/>
        <v/>
      </c>
      <c r="P12" s="251" t="str">
        <f t="shared" si="6"/>
        <v/>
      </c>
      <c r="Q12" s="252" t="str">
        <f t="shared" si="6"/>
        <v/>
      </c>
      <c r="S12" s="130" t="str">
        <f t="shared" si="7"/>
        <v/>
      </c>
      <c r="T12" s="18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3" t="s">
        <v>575</v>
      </c>
      <c r="V12" s="183" t="s">
        <v>576</v>
      </c>
      <c r="W12" s="183" t="s">
        <v>577</v>
      </c>
      <c r="X12" s="183" t="s">
        <v>578</v>
      </c>
      <c r="Y12" s="183" t="s">
        <v>579</v>
      </c>
    </row>
    <row r="13" spans="1:25" x14ac:dyDescent="0.25">
      <c r="A13" s="42" t="str">
        <f t="shared" si="0"/>
        <v>B05</v>
      </c>
      <c r="B13" s="275" t="str">
        <f t="shared" si="8"/>
        <v>WIND</v>
      </c>
      <c r="C13" s="39" t="str">
        <f t="shared" si="1"/>
        <v>Έμμεση</v>
      </c>
      <c r="D13" s="222">
        <f>IF(S13="",IF(ΓΕΝΙΚΑ!$B$20="ΝΑΙ",14682,""),"")</f>
        <v>14682</v>
      </c>
      <c r="E13" s="259" t="str">
        <f>IF(ΓΕΝΙΚΑ!$B$20="ΝΑΙ","Π. ΚΡΗΤΗΣ","")</f>
        <v>Π. ΚΡΗΤΗΣ</v>
      </c>
      <c r="F13" s="7" t="s">
        <v>411</v>
      </c>
      <c r="G13" s="7">
        <v>50</v>
      </c>
      <c r="H13" s="174">
        <v>3.28</v>
      </c>
      <c r="I13" s="236">
        <f t="shared" si="2"/>
        <v>3.28</v>
      </c>
      <c r="J13" s="174">
        <v>5.72</v>
      </c>
      <c r="K13" s="236">
        <f t="shared" si="3"/>
        <v>5.72</v>
      </c>
      <c r="L13" s="7">
        <f t="shared" si="4"/>
        <v>9</v>
      </c>
      <c r="M13" s="288"/>
      <c r="N13" s="244" t="str">
        <f t="shared" si="5"/>
        <v/>
      </c>
      <c r="O13" s="250" t="str">
        <f t="shared" si="9"/>
        <v/>
      </c>
      <c r="P13" s="251" t="str">
        <f t="shared" si="6"/>
        <v/>
      </c>
      <c r="Q13" s="252" t="str">
        <f t="shared" si="6"/>
        <v/>
      </c>
      <c r="S13" s="130" t="str">
        <f t="shared" si="7"/>
        <v/>
      </c>
      <c r="T13" s="18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3" t="s">
        <v>575</v>
      </c>
      <c r="V13" s="183" t="s">
        <v>576</v>
      </c>
      <c r="W13" s="183" t="s">
        <v>577</v>
      </c>
      <c r="X13" s="183" t="s">
        <v>578</v>
      </c>
      <c r="Y13" s="183" t="s">
        <v>579</v>
      </c>
    </row>
    <row r="14" spans="1:25" x14ac:dyDescent="0.25">
      <c r="A14" s="42" t="str">
        <f t="shared" si="0"/>
        <v>B05</v>
      </c>
      <c r="B14" s="275" t="str">
        <f t="shared" si="8"/>
        <v>WIND</v>
      </c>
      <c r="C14" s="39" t="str">
        <f t="shared" si="1"/>
        <v>Έμμεση</v>
      </c>
      <c r="D14" s="209">
        <f>IF(S14="",IF(ΓΕΝΙΚΑ!$B$20="ΝΑΙ",14684,""),"")</f>
        <v>14684</v>
      </c>
      <c r="E14" s="25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74">
        <v>3.58</v>
      </c>
      <c r="I14" s="236">
        <f t="shared" si="2"/>
        <v>3.58</v>
      </c>
      <c r="J14" s="174">
        <v>6.41</v>
      </c>
      <c r="K14" s="236">
        <f t="shared" si="3"/>
        <v>6.41</v>
      </c>
      <c r="L14" s="7">
        <f t="shared" si="4"/>
        <v>10</v>
      </c>
      <c r="M14" s="288"/>
      <c r="N14" s="244" t="str">
        <f t="shared" si="5"/>
        <v/>
      </c>
      <c r="O14" s="250" t="str">
        <f t="shared" si="9"/>
        <v/>
      </c>
      <c r="P14" s="251" t="str">
        <f t="shared" si="6"/>
        <v/>
      </c>
      <c r="Q14" s="252" t="str">
        <f t="shared" si="6"/>
        <v/>
      </c>
      <c r="S14" s="130" t="str">
        <f t="shared" si="7"/>
        <v/>
      </c>
      <c r="T14" s="18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3" t="s">
        <v>575</v>
      </c>
      <c r="V14" s="183" t="s">
        <v>576</v>
      </c>
      <c r="W14" s="183" t="s">
        <v>577</v>
      </c>
      <c r="X14" s="183" t="s">
        <v>578</v>
      </c>
      <c r="Y14" s="183" t="s">
        <v>579</v>
      </c>
    </row>
    <row r="15" spans="1:25" x14ac:dyDescent="0.25">
      <c r="A15" s="42" t="str">
        <f t="shared" si="0"/>
        <v>B05</v>
      </c>
      <c r="B15" s="275" t="str">
        <f t="shared" si="8"/>
        <v>WIND</v>
      </c>
      <c r="C15" s="39" t="str">
        <f t="shared" si="1"/>
        <v>Έμμεση</v>
      </c>
      <c r="D15" s="222">
        <f>IF(S15="",IF(ΓΕΝΙΚΑ!$B$20="ΝΑΙ",14686,""),"")</f>
        <v>14686</v>
      </c>
      <c r="E15" s="25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74">
        <v>5.85</v>
      </c>
      <c r="I15" s="236">
        <f t="shared" si="2"/>
        <v>5.85</v>
      </c>
      <c r="J15" s="174">
        <v>5.15</v>
      </c>
      <c r="K15" s="236">
        <f t="shared" si="3"/>
        <v>5.15</v>
      </c>
      <c r="L15" s="7">
        <f t="shared" si="4"/>
        <v>11</v>
      </c>
      <c r="M15" s="288"/>
      <c r="N15" s="244" t="str">
        <f t="shared" si="5"/>
        <v/>
      </c>
      <c r="O15" s="250" t="str">
        <f t="shared" si="9"/>
        <v/>
      </c>
      <c r="P15" s="251" t="str">
        <f t="shared" si="6"/>
        <v/>
      </c>
      <c r="Q15" s="252" t="str">
        <f t="shared" si="6"/>
        <v/>
      </c>
      <c r="S15" s="130" t="str">
        <f t="shared" si="7"/>
        <v/>
      </c>
      <c r="T15" s="18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3" t="s">
        <v>575</v>
      </c>
      <c r="V15" s="183" t="s">
        <v>576</v>
      </c>
      <c r="W15" s="183" t="s">
        <v>577</v>
      </c>
      <c r="X15" s="183" t="s">
        <v>578</v>
      </c>
      <c r="Y15" s="183" t="s">
        <v>579</v>
      </c>
    </row>
    <row r="16" spans="1:25" ht="15.75" thickBot="1" x14ac:dyDescent="0.3">
      <c r="A16" s="42" t="str">
        <f t="shared" si="0"/>
        <v>B05</v>
      </c>
      <c r="B16" s="275" t="str">
        <f t="shared" si="8"/>
        <v>WIND</v>
      </c>
      <c r="C16" s="39" t="str">
        <f t="shared" si="1"/>
        <v>Έμμεση</v>
      </c>
      <c r="D16" s="210">
        <f>IF(S16="",IF(ΓΕΝΙΚΑ!$B$20="ΝΑΙ",14688,""),"")</f>
        <v>14688</v>
      </c>
      <c r="E16" s="26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75">
        <v>2.62</v>
      </c>
      <c r="I16" s="236">
        <f t="shared" si="2"/>
        <v>2.62</v>
      </c>
      <c r="J16" s="175">
        <v>6.38</v>
      </c>
      <c r="K16" s="236">
        <f t="shared" si="3"/>
        <v>6.38</v>
      </c>
      <c r="L16" s="6">
        <f t="shared" si="4"/>
        <v>9</v>
      </c>
      <c r="M16" s="289"/>
      <c r="N16" s="244" t="str">
        <f t="shared" si="5"/>
        <v/>
      </c>
      <c r="O16" s="250" t="str">
        <f t="shared" si="9"/>
        <v/>
      </c>
      <c r="P16" s="251" t="str">
        <f t="shared" si="6"/>
        <v/>
      </c>
      <c r="Q16" s="252" t="str">
        <f t="shared" si="6"/>
        <v/>
      </c>
      <c r="S16" s="130" t="str">
        <f t="shared" si="7"/>
        <v/>
      </c>
      <c r="T16" s="18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3" t="s">
        <v>575</v>
      </c>
      <c r="V16" s="183" t="s">
        <v>576</v>
      </c>
      <c r="W16" s="183" t="s">
        <v>577</v>
      </c>
      <c r="X16" s="183" t="s">
        <v>578</v>
      </c>
      <c r="Y16" s="183" t="s">
        <v>579</v>
      </c>
    </row>
    <row r="17" spans="1:20" x14ac:dyDescent="0.25">
      <c r="A17" s="42" t="str">
        <f t="shared" si="0"/>
        <v>B05</v>
      </c>
      <c r="B17" s="275" t="str">
        <f t="shared" si="8"/>
        <v>WIND</v>
      </c>
      <c r="C17" s="39" t="str">
        <f t="shared" si="1"/>
        <v>Έμμεση</v>
      </c>
      <c r="D17" s="221">
        <f>IF(S17="",IF(ΓΕΝΙΚΑ!$B$20="ΝΑΙ",15300,""),"")</f>
        <v>15300</v>
      </c>
      <c r="E17" s="261" t="str">
        <f>IF(ΓΕΝΙΚΑ!$B$20="ΝΑΙ","ΠΑΝΕΛΛΑΔΙΚΑ","")</f>
        <v>ΠΑΝΕΛΛΑΔΙΚΑ</v>
      </c>
      <c r="F17" s="8" t="s">
        <v>555</v>
      </c>
      <c r="G17" s="5">
        <v>95</v>
      </c>
      <c r="H17" s="173">
        <v>15.44</v>
      </c>
      <c r="I17" s="236">
        <f t="shared" si="2"/>
        <v>15.44</v>
      </c>
      <c r="J17" s="173">
        <v>23.56</v>
      </c>
      <c r="K17" s="236">
        <f t="shared" si="3"/>
        <v>23.56</v>
      </c>
      <c r="L17" s="5">
        <f t="shared" si="4"/>
        <v>39</v>
      </c>
      <c r="M17" s="34">
        <f>M3</f>
        <v>0</v>
      </c>
      <c r="N17" s="219" t="str">
        <f>N3</f>
        <v/>
      </c>
      <c r="O17" s="251" t="str">
        <f t="shared" si="9"/>
        <v/>
      </c>
      <c r="P17" s="251" t="str">
        <f t="shared" si="6"/>
        <v/>
      </c>
      <c r="Q17" s="252" t="str">
        <f t="shared" si="6"/>
        <v/>
      </c>
      <c r="S17" s="130" t="str">
        <f t="shared" si="7"/>
        <v/>
      </c>
      <c r="T17" s="181" t="str">
        <f>IF(L17="",U3,"")</f>
        <v/>
      </c>
    </row>
    <row r="18" spans="1:20" x14ac:dyDescent="0.25">
      <c r="A18" s="42" t="str">
        <f t="shared" si="0"/>
        <v>B05</v>
      </c>
      <c r="B18" s="275" t="str">
        <f t="shared" si="8"/>
        <v>WIND</v>
      </c>
      <c r="C18" s="39" t="str">
        <f t="shared" si="1"/>
        <v>Έμμεση</v>
      </c>
      <c r="D18" s="209">
        <f>IF(S18="",IF(ΓΕΝΙΚΑ!$B$20="ΝΑΙ",14664,""),"")</f>
        <v>14664</v>
      </c>
      <c r="E18" s="25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74">
        <v>16.649999999999999</v>
      </c>
      <c r="I18" s="236">
        <f t="shared" si="2"/>
        <v>16.649999999999999</v>
      </c>
      <c r="J18" s="174">
        <v>22.35</v>
      </c>
      <c r="K18" s="236">
        <f t="shared" si="3"/>
        <v>22.35</v>
      </c>
      <c r="L18" s="7">
        <f t="shared" si="4"/>
        <v>39</v>
      </c>
      <c r="M18" s="34">
        <f>M4</f>
        <v>0</v>
      </c>
      <c r="N18" s="219" t="str">
        <f t="shared" ref="N18:N30" si="10">N4</f>
        <v/>
      </c>
      <c r="O18" s="251" t="str">
        <f t="shared" si="9"/>
        <v/>
      </c>
      <c r="P18" s="251" t="str">
        <f t="shared" si="6"/>
        <v/>
      </c>
      <c r="Q18" s="252" t="str">
        <f t="shared" si="6"/>
        <v/>
      </c>
      <c r="S18" s="130" t="str">
        <f t="shared" si="7"/>
        <v/>
      </c>
      <c r="T18" s="181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x14ac:dyDescent="0.25">
      <c r="A19" s="42" t="str">
        <f t="shared" si="0"/>
        <v>B05</v>
      </c>
      <c r="B19" s="275" t="str">
        <f t="shared" si="8"/>
        <v>WIND</v>
      </c>
      <c r="C19" s="39" t="str">
        <f t="shared" si="1"/>
        <v>Έμμεση</v>
      </c>
      <c r="D19" s="222">
        <f>IF(S19="",IF(ΓΕΝΙΚΑ!$B$20="ΝΑΙ",14666,""),"")</f>
        <v>14666</v>
      </c>
      <c r="E19" s="259" t="str">
        <f>IF(ΓΕΝΙΚΑ!$B$20="ΝΑΙ","Π. ΑΤΤΙΚΗΣ","")</f>
        <v>Π. ΑΤΤΙΚΗΣ</v>
      </c>
      <c r="F19" s="7" t="s">
        <v>40</v>
      </c>
      <c r="G19" s="7">
        <v>95</v>
      </c>
      <c r="H19" s="174">
        <v>11.75</v>
      </c>
      <c r="I19" s="236">
        <f t="shared" si="2"/>
        <v>11.75</v>
      </c>
      <c r="J19" s="174">
        <v>13.25</v>
      </c>
      <c r="K19" s="236">
        <f t="shared" si="3"/>
        <v>13.25</v>
      </c>
      <c r="L19" s="7">
        <f t="shared" si="4"/>
        <v>25</v>
      </c>
      <c r="M19" s="34">
        <f t="shared" ref="M19:M30" si="11">M5</f>
        <v>0</v>
      </c>
      <c r="N19" s="219" t="str">
        <f t="shared" si="10"/>
        <v/>
      </c>
      <c r="O19" s="251" t="str">
        <f t="shared" si="9"/>
        <v/>
      </c>
      <c r="P19" s="251" t="str">
        <f t="shared" si="6"/>
        <v/>
      </c>
      <c r="Q19" s="252" t="str">
        <f t="shared" si="6"/>
        <v/>
      </c>
      <c r="S19" s="130" t="str">
        <f t="shared" si="7"/>
        <v/>
      </c>
      <c r="T19" s="181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x14ac:dyDescent="0.25">
      <c r="A20" s="42" t="str">
        <f t="shared" si="0"/>
        <v>B05</v>
      </c>
      <c r="B20" s="275" t="str">
        <f t="shared" si="8"/>
        <v>WIND</v>
      </c>
      <c r="C20" s="39" t="str">
        <f t="shared" si="1"/>
        <v>Έμμεση</v>
      </c>
      <c r="D20" s="209">
        <f>IF(S17="",IF(ΓΕΝΙΚΑ!$B$20="ΝΑΙ",14668,""),"")</f>
        <v>14668</v>
      </c>
      <c r="E20" s="25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74">
        <v>16.12</v>
      </c>
      <c r="I20" s="236">
        <f t="shared" si="2"/>
        <v>16.12</v>
      </c>
      <c r="J20" s="174">
        <v>21.88</v>
      </c>
      <c r="K20" s="236">
        <f t="shared" si="3"/>
        <v>21.88</v>
      </c>
      <c r="L20" s="7">
        <f t="shared" si="4"/>
        <v>38</v>
      </c>
      <c r="M20" s="34">
        <f t="shared" si="11"/>
        <v>0</v>
      </c>
      <c r="N20" s="219" t="str">
        <f t="shared" si="10"/>
        <v/>
      </c>
      <c r="O20" s="251" t="str">
        <f t="shared" si="9"/>
        <v/>
      </c>
      <c r="P20" s="251" t="str">
        <f t="shared" si="6"/>
        <v/>
      </c>
      <c r="Q20" s="252" t="str">
        <f t="shared" si="6"/>
        <v/>
      </c>
      <c r="S20" s="130" t="str">
        <f t="shared" si="7"/>
        <v/>
      </c>
      <c r="T20" s="181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x14ac:dyDescent="0.25">
      <c r="A21" s="42" t="str">
        <f t="shared" si="0"/>
        <v>B05</v>
      </c>
      <c r="B21" s="275" t="str">
        <f t="shared" si="8"/>
        <v>WIND</v>
      </c>
      <c r="C21" s="39" t="str">
        <f t="shared" si="1"/>
        <v>Έμμεση</v>
      </c>
      <c r="D21" s="222">
        <f>IF(S21="",IF(ΓΕΝΙΚΑ!$B$20="ΝΑΙ",14670,""),"")</f>
        <v>14670</v>
      </c>
      <c r="E21" s="25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74">
        <v>11.68</v>
      </c>
      <c r="I21" s="236">
        <f t="shared" si="2"/>
        <v>11.68</v>
      </c>
      <c r="J21" s="174">
        <v>17.32</v>
      </c>
      <c r="K21" s="236">
        <f t="shared" si="3"/>
        <v>17.32</v>
      </c>
      <c r="L21" s="7">
        <f t="shared" si="4"/>
        <v>29</v>
      </c>
      <c r="M21" s="34">
        <f t="shared" si="11"/>
        <v>0</v>
      </c>
      <c r="N21" s="219" t="str">
        <f t="shared" si="10"/>
        <v/>
      </c>
      <c r="O21" s="251" t="str">
        <f t="shared" si="9"/>
        <v/>
      </c>
      <c r="P21" s="251" t="str">
        <f t="shared" si="6"/>
        <v/>
      </c>
      <c r="Q21" s="252" t="str">
        <f t="shared" si="6"/>
        <v/>
      </c>
      <c r="S21" s="130" t="str">
        <f t="shared" si="7"/>
        <v/>
      </c>
      <c r="T21" s="181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x14ac:dyDescent="0.25">
      <c r="A22" s="42" t="str">
        <f t="shared" si="0"/>
        <v>B05</v>
      </c>
      <c r="B22" s="275" t="str">
        <f t="shared" si="8"/>
        <v>WIND</v>
      </c>
      <c r="C22" s="39" t="str">
        <f t="shared" si="1"/>
        <v>Έμμεση</v>
      </c>
      <c r="D22" s="209">
        <f>IF(S22="",IF(ΓΕΝΙΚΑ!$B$20="ΝΑΙ",14672,""),"")</f>
        <v>14672</v>
      </c>
      <c r="E22" s="25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74">
        <v>14.25</v>
      </c>
      <c r="I22" s="236">
        <f t="shared" si="2"/>
        <v>14.25</v>
      </c>
      <c r="J22" s="174">
        <v>19.75</v>
      </c>
      <c r="K22" s="236">
        <f t="shared" si="3"/>
        <v>19.75</v>
      </c>
      <c r="L22" s="7">
        <f t="shared" si="4"/>
        <v>34</v>
      </c>
      <c r="M22" s="34">
        <f t="shared" si="11"/>
        <v>0</v>
      </c>
      <c r="N22" s="219" t="str">
        <f t="shared" si="10"/>
        <v/>
      </c>
      <c r="O22" s="251" t="str">
        <f t="shared" si="9"/>
        <v/>
      </c>
      <c r="P22" s="251" t="str">
        <f t="shared" si="6"/>
        <v/>
      </c>
      <c r="Q22" s="252" t="str">
        <f t="shared" si="6"/>
        <v/>
      </c>
      <c r="S22" s="130" t="str">
        <f t="shared" si="7"/>
        <v/>
      </c>
      <c r="T22" s="181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x14ac:dyDescent="0.25">
      <c r="A23" s="42" t="str">
        <f t="shared" si="0"/>
        <v>B05</v>
      </c>
      <c r="B23" s="275" t="str">
        <f t="shared" si="8"/>
        <v>WIND</v>
      </c>
      <c r="C23" s="39" t="str">
        <f t="shared" si="1"/>
        <v>Έμμεση</v>
      </c>
      <c r="D23" s="222">
        <f>IF(S23="",IF(ΓΕΝΙΚΑ!$B$20="ΝΑΙ",14674,""),"")</f>
        <v>14674</v>
      </c>
      <c r="E23" s="259" t="str">
        <f>IF(ΓΕΝΙΚΑ!$B$20="ΝΑΙ","Π. ΗΠΕΙΡΟΥ","")</f>
        <v>Π. ΗΠΕΙΡΟΥ</v>
      </c>
      <c r="F23" s="7" t="s">
        <v>407</v>
      </c>
      <c r="G23" s="7">
        <v>95</v>
      </c>
      <c r="H23" s="174">
        <v>14.67</v>
      </c>
      <c r="I23" s="236">
        <f t="shared" si="2"/>
        <v>14.67</v>
      </c>
      <c r="J23" s="174">
        <v>26.33</v>
      </c>
      <c r="K23" s="236">
        <f t="shared" si="3"/>
        <v>26.33</v>
      </c>
      <c r="L23" s="7">
        <f t="shared" si="4"/>
        <v>41</v>
      </c>
      <c r="M23" s="34">
        <f t="shared" si="11"/>
        <v>0</v>
      </c>
      <c r="N23" s="219" t="str">
        <f t="shared" si="10"/>
        <v/>
      </c>
      <c r="O23" s="251" t="str">
        <f t="shared" si="9"/>
        <v/>
      </c>
      <c r="P23" s="251" t="str">
        <f t="shared" si="6"/>
        <v/>
      </c>
      <c r="Q23" s="252" t="str">
        <f t="shared" si="6"/>
        <v/>
      </c>
      <c r="S23" s="130" t="str">
        <f t="shared" si="7"/>
        <v/>
      </c>
      <c r="T23" s="181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x14ac:dyDescent="0.25">
      <c r="A24" s="42" t="str">
        <f t="shared" si="0"/>
        <v>B05</v>
      </c>
      <c r="B24" s="275" t="str">
        <f t="shared" si="8"/>
        <v>WIND</v>
      </c>
      <c r="C24" s="39" t="str">
        <f t="shared" si="1"/>
        <v>Έμμεση</v>
      </c>
      <c r="D24" s="209">
        <f>IF(S24="",IF(ΓΕΝΙΚΑ!$B$20="ΝΑΙ",14676,""),"")</f>
        <v>14676</v>
      </c>
      <c r="E24" s="258" t="str">
        <f>IF(ΓΕΝΙΚΑ!$B$20="ΝΑΙ","Π. ΘΕΣΣΑΛΙΑΣ","")</f>
        <v>Π. ΘΕΣΣΑΛΙΑΣ</v>
      </c>
      <c r="F24" s="24" t="s">
        <v>408</v>
      </c>
      <c r="G24" s="24">
        <v>95</v>
      </c>
      <c r="H24" s="174">
        <v>16</v>
      </c>
      <c r="I24" s="236">
        <f t="shared" si="2"/>
        <v>16</v>
      </c>
      <c r="J24" s="174">
        <v>21</v>
      </c>
      <c r="K24" s="236">
        <f t="shared" si="3"/>
        <v>21</v>
      </c>
      <c r="L24" s="7">
        <f t="shared" si="4"/>
        <v>37</v>
      </c>
      <c r="M24" s="34">
        <f t="shared" si="11"/>
        <v>0</v>
      </c>
      <c r="N24" s="219" t="str">
        <f t="shared" si="10"/>
        <v/>
      </c>
      <c r="O24" s="251" t="str">
        <f t="shared" si="9"/>
        <v/>
      </c>
      <c r="P24" s="251" t="str">
        <f t="shared" si="6"/>
        <v/>
      </c>
      <c r="Q24" s="252" t="str">
        <f t="shared" si="6"/>
        <v/>
      </c>
      <c r="S24" s="130" t="str">
        <f t="shared" si="7"/>
        <v/>
      </c>
      <c r="T24" s="181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x14ac:dyDescent="0.25">
      <c r="A25" s="42" t="str">
        <f t="shared" si="0"/>
        <v>B05</v>
      </c>
      <c r="B25" s="275" t="str">
        <f t="shared" si="8"/>
        <v>WIND</v>
      </c>
      <c r="C25" s="39" t="str">
        <f t="shared" si="1"/>
        <v>Έμμεση</v>
      </c>
      <c r="D25" s="222">
        <f>IF(S25="",IF(ΓΕΝΙΚΑ!$B$20="ΝΑΙ",14678,""),"")</f>
        <v>14678</v>
      </c>
      <c r="E25" s="259" t="str">
        <f>IF(ΓΕΝΙΚΑ!$B$20="ΝΑΙ","Π. ΙΟΝΙΩΝ ΝΗΣΩΝ","")</f>
        <v>Π. ΙΟΝΙΩΝ ΝΗΣΩΝ</v>
      </c>
      <c r="F25" s="7" t="s">
        <v>409</v>
      </c>
      <c r="G25" s="7">
        <v>95</v>
      </c>
      <c r="H25" s="174">
        <v>18.84</v>
      </c>
      <c r="I25" s="236">
        <f t="shared" si="2"/>
        <v>18.84</v>
      </c>
      <c r="J25" s="174">
        <v>26.16</v>
      </c>
      <c r="K25" s="236">
        <f t="shared" si="3"/>
        <v>26.16</v>
      </c>
      <c r="L25" s="7">
        <f t="shared" si="4"/>
        <v>45</v>
      </c>
      <c r="M25" s="34">
        <f t="shared" si="11"/>
        <v>0</v>
      </c>
      <c r="N25" s="219" t="str">
        <f t="shared" si="10"/>
        <v/>
      </c>
      <c r="O25" s="251" t="str">
        <f t="shared" si="9"/>
        <v/>
      </c>
      <c r="P25" s="251" t="str">
        <f t="shared" si="6"/>
        <v/>
      </c>
      <c r="Q25" s="252" t="str">
        <f t="shared" si="6"/>
        <v/>
      </c>
      <c r="S25" s="130" t="str">
        <f t="shared" si="7"/>
        <v/>
      </c>
      <c r="T25" s="181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x14ac:dyDescent="0.25">
      <c r="A26" s="42" t="str">
        <f t="shared" si="0"/>
        <v>B05</v>
      </c>
      <c r="B26" s="275" t="str">
        <f t="shared" si="8"/>
        <v>WIND</v>
      </c>
      <c r="C26" s="39" t="str">
        <f t="shared" si="1"/>
        <v>Έμμεση</v>
      </c>
      <c r="D26" s="209">
        <f>IF(S26="",IF(ΓΕΝΙΚΑ!$B$20="ΝΑΙ",14680,""),"")</f>
        <v>14680</v>
      </c>
      <c r="E26" s="25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74">
        <v>15.34</v>
      </c>
      <c r="I26" s="236">
        <f t="shared" si="2"/>
        <v>15.34</v>
      </c>
      <c r="J26" s="174">
        <v>15.66</v>
      </c>
      <c r="K26" s="236">
        <f t="shared" si="3"/>
        <v>15.66</v>
      </c>
      <c r="L26" s="7">
        <f t="shared" si="4"/>
        <v>31</v>
      </c>
      <c r="M26" s="34">
        <f t="shared" si="11"/>
        <v>0</v>
      </c>
      <c r="N26" s="219" t="str">
        <f t="shared" si="10"/>
        <v/>
      </c>
      <c r="O26" s="251" t="str">
        <f t="shared" si="9"/>
        <v/>
      </c>
      <c r="P26" s="251" t="str">
        <f t="shared" si="6"/>
        <v/>
      </c>
      <c r="Q26" s="252" t="str">
        <f t="shared" si="6"/>
        <v/>
      </c>
      <c r="S26" s="130" t="str">
        <f t="shared" si="7"/>
        <v/>
      </c>
      <c r="T26" s="181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x14ac:dyDescent="0.25">
      <c r="A27" s="42" t="str">
        <f t="shared" si="0"/>
        <v>B05</v>
      </c>
      <c r="B27" s="275" t="str">
        <f t="shared" si="8"/>
        <v>WIND</v>
      </c>
      <c r="C27" s="39" t="str">
        <f t="shared" si="1"/>
        <v>Έμμεση</v>
      </c>
      <c r="D27" s="222">
        <f>IF(S27="",IF(ΓΕΝΙΚΑ!$B$20="ΝΑΙ",14682,""),"")</f>
        <v>14682</v>
      </c>
      <c r="E27" s="259" t="str">
        <f>IF(ΓΕΝΙΚΑ!$B$20="ΝΑΙ","Π. ΚΡΗΤΗΣ","")</f>
        <v>Π. ΚΡΗΤΗΣ</v>
      </c>
      <c r="F27" s="7" t="s">
        <v>411</v>
      </c>
      <c r="G27" s="7">
        <v>95</v>
      </c>
      <c r="H27" s="174">
        <v>12.25</v>
      </c>
      <c r="I27" s="236">
        <f t="shared" si="2"/>
        <v>12.25</v>
      </c>
      <c r="J27" s="174">
        <v>17.75</v>
      </c>
      <c r="K27" s="236">
        <f t="shared" si="3"/>
        <v>17.75</v>
      </c>
      <c r="L27" s="7">
        <f t="shared" si="4"/>
        <v>30</v>
      </c>
      <c r="M27" s="34">
        <f t="shared" si="11"/>
        <v>0</v>
      </c>
      <c r="N27" s="219" t="str">
        <f t="shared" si="10"/>
        <v/>
      </c>
      <c r="O27" s="251" t="str">
        <f t="shared" si="9"/>
        <v/>
      </c>
      <c r="P27" s="251" t="str">
        <f t="shared" si="6"/>
        <v/>
      </c>
      <c r="Q27" s="252" t="str">
        <f t="shared" si="6"/>
        <v/>
      </c>
      <c r="S27" s="130" t="str">
        <f t="shared" si="7"/>
        <v/>
      </c>
      <c r="T27" s="181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x14ac:dyDescent="0.25">
      <c r="A28" s="42" t="str">
        <f t="shared" si="0"/>
        <v>B05</v>
      </c>
      <c r="B28" s="275" t="str">
        <f t="shared" si="8"/>
        <v>WIND</v>
      </c>
      <c r="C28" s="39" t="str">
        <f t="shared" si="1"/>
        <v>Έμμεση</v>
      </c>
      <c r="D28" s="209">
        <f>IF(S28="",IF(ΓΕΝΙΚΑ!$B$20="ΝΑΙ",14684,""),"")</f>
        <v>14684</v>
      </c>
      <c r="E28" s="25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74">
        <v>16.489999999999998</v>
      </c>
      <c r="I28" s="236">
        <f t="shared" si="2"/>
        <v>16.489999999999998</v>
      </c>
      <c r="J28" s="174">
        <v>22.5</v>
      </c>
      <c r="K28" s="236">
        <f t="shared" si="3"/>
        <v>22.5</v>
      </c>
      <c r="L28" s="7">
        <f t="shared" si="4"/>
        <v>39</v>
      </c>
      <c r="M28" s="34">
        <f t="shared" si="11"/>
        <v>0</v>
      </c>
      <c r="N28" s="219" t="str">
        <f t="shared" si="10"/>
        <v/>
      </c>
      <c r="O28" s="251" t="str">
        <f t="shared" si="9"/>
        <v/>
      </c>
      <c r="P28" s="251" t="str">
        <f t="shared" si="6"/>
        <v/>
      </c>
      <c r="Q28" s="252" t="str">
        <f t="shared" si="6"/>
        <v/>
      </c>
      <c r="S28" s="130" t="str">
        <f t="shared" si="7"/>
        <v/>
      </c>
      <c r="T28" s="181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x14ac:dyDescent="0.25">
      <c r="A29" s="42" t="str">
        <f t="shared" si="0"/>
        <v>B05</v>
      </c>
      <c r="B29" s="275" t="str">
        <f t="shared" si="8"/>
        <v>WIND</v>
      </c>
      <c r="C29" s="39" t="str">
        <f t="shared" si="1"/>
        <v>Έμμεση</v>
      </c>
      <c r="D29" s="222">
        <f>IF(S29="",IF(ΓΕΝΙΚΑ!$B$20="ΝΑΙ",14686,""),"")</f>
        <v>14686</v>
      </c>
      <c r="E29" s="25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74">
        <v>18.98</v>
      </c>
      <c r="I29" s="236">
        <f t="shared" si="2"/>
        <v>18.98</v>
      </c>
      <c r="J29" s="174">
        <v>19.02</v>
      </c>
      <c r="K29" s="236">
        <f t="shared" si="3"/>
        <v>19.02</v>
      </c>
      <c r="L29" s="7">
        <f t="shared" si="4"/>
        <v>38</v>
      </c>
      <c r="M29" s="34">
        <f t="shared" si="11"/>
        <v>0</v>
      </c>
      <c r="N29" s="219" t="str">
        <f t="shared" si="10"/>
        <v/>
      </c>
      <c r="O29" s="251" t="str">
        <f t="shared" si="9"/>
        <v/>
      </c>
      <c r="P29" s="251" t="str">
        <f t="shared" si="6"/>
        <v/>
      </c>
      <c r="Q29" s="252" t="str">
        <f t="shared" si="6"/>
        <v/>
      </c>
      <c r="S29" s="130" t="str">
        <f t="shared" si="7"/>
        <v/>
      </c>
      <c r="T29" s="181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5.75" thickBot="1" x14ac:dyDescent="0.3">
      <c r="A30" s="43" t="str">
        <f t="shared" si="0"/>
        <v>B05</v>
      </c>
      <c r="B30" s="276" t="str">
        <f t="shared" si="8"/>
        <v>WIND</v>
      </c>
      <c r="C30" s="44" t="str">
        <f t="shared" si="1"/>
        <v>Έμμεση</v>
      </c>
      <c r="D30" s="210">
        <f>IF(S30="",IF(ΓΕΝΙΚΑ!$B$20="ΝΑΙ",14688,""),"")</f>
        <v>14688</v>
      </c>
      <c r="E30" s="26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75">
        <v>11.54</v>
      </c>
      <c r="I30" s="236">
        <f t="shared" si="2"/>
        <v>11.54</v>
      </c>
      <c r="J30" s="175">
        <v>20.46</v>
      </c>
      <c r="K30" s="236">
        <f t="shared" si="3"/>
        <v>20.46</v>
      </c>
      <c r="L30" s="6">
        <f t="shared" si="4"/>
        <v>32</v>
      </c>
      <c r="M30" s="36">
        <f t="shared" si="11"/>
        <v>0</v>
      </c>
      <c r="N30" s="220" t="str">
        <f t="shared" si="10"/>
        <v/>
      </c>
      <c r="O30" s="253" t="str">
        <f t="shared" si="9"/>
        <v/>
      </c>
      <c r="P30" s="253" t="str">
        <f t="shared" si="6"/>
        <v/>
      </c>
      <c r="Q30" s="254" t="str">
        <f t="shared" si="6"/>
        <v/>
      </c>
      <c r="S30" s="130" t="str">
        <f t="shared" si="7"/>
        <v/>
      </c>
      <c r="T30" s="182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3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85" zoomScaleNormal="85" workbookViewId="0">
      <selection activeCell="C5" sqref="C5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7" style="238" hidden="1" customWidth="1"/>
    <col min="5" max="5" width="38.5703125" style="238" hidden="1" customWidth="1"/>
    <col min="6" max="6" width="38.140625" style="160" customWidth="1"/>
    <col min="7" max="7" width="22.7109375" style="160" customWidth="1"/>
    <col min="8" max="8" width="28.28515625" style="160" customWidth="1"/>
    <col min="9" max="9" width="28.28515625" style="160" hidden="1" customWidth="1"/>
    <col min="10" max="10" width="27.42578125" style="160" customWidth="1"/>
    <col min="11" max="11" width="28.28515625" style="160" hidden="1" customWidth="1"/>
    <col min="12" max="12" width="62.85546875" style="160" customWidth="1"/>
    <col min="13" max="13" width="56.42578125" style="160" customWidth="1"/>
    <col min="14" max="14" width="9.140625" style="160" customWidth="1"/>
    <col min="15" max="15" width="16.140625" style="160" customWidth="1"/>
    <col min="16" max="16" width="58.140625" style="160" customWidth="1"/>
    <col min="17" max="17" width="9.140625" style="160" customWidth="1"/>
    <col min="18" max="16384" width="9.140625" style="160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6" t="s">
        <v>905</v>
      </c>
      <c r="E1" s="21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0"/>
      <c r="E2" s="23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0" t="s">
        <v>564</v>
      </c>
      <c r="L2" s="4" t="s">
        <v>472</v>
      </c>
      <c r="M2" s="23" t="s">
        <v>421</v>
      </c>
      <c r="O2" s="145" t="s">
        <v>452</v>
      </c>
      <c r="P2" s="109" t="s">
        <v>553</v>
      </c>
    </row>
    <row r="3" spans="1:16" ht="75.75" thickTop="1" x14ac:dyDescent="0.25">
      <c r="A3" s="40" t="s">
        <v>470</v>
      </c>
      <c r="B3" s="48" t="str">
        <f>ΓΕΝΙΚΑ!C4</f>
        <v>WIND</v>
      </c>
      <c r="C3" s="239" t="s">
        <v>435</v>
      </c>
      <c r="D3" s="221">
        <f>IF(S3="",IF(ΓΕΝΙΚΑ!$B$20="ΝΑΙ",15300,""),"")</f>
        <v>15300</v>
      </c>
      <c r="E3" s="211" t="str">
        <f>IF(ΓΕΝΙΚΑ!$B$21="ΝΑΙ","ΠΑΝΕΛΛΑΔΙΚΑ","")</f>
        <v>ΠΑΝΕΛΛΑΔΙΚΑ</v>
      </c>
      <c r="F3" s="41" t="s">
        <v>555</v>
      </c>
      <c r="G3" s="255">
        <f>IF(AND(ISNUMBER(H3),ISNUMBER(J3)),ROUND(H3/J3,2),"N/A")</f>
        <v>0.28000000000000003</v>
      </c>
      <c r="H3" s="305">
        <v>27770</v>
      </c>
      <c r="I3" s="146">
        <f>IF(ISNUMBER(H3),ROUND(H3,0),"")</f>
        <v>27770</v>
      </c>
      <c r="J3" s="307">
        <v>98267</v>
      </c>
      <c r="K3" s="298">
        <f>IF(ISNUMBER(J3),ROUND(J3,0),"")</f>
        <v>98267</v>
      </c>
      <c r="L3" s="309" t="s">
        <v>937</v>
      </c>
      <c r="M3" s="235" t="s">
        <v>925</v>
      </c>
      <c r="O3" s="46" t="str">
        <f>IF(P3&lt;&gt;"","ΣΦΑΛΜΑ","")</f>
        <v/>
      </c>
      <c r="P3" s="147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75" x14ac:dyDescent="0.25">
      <c r="A4" s="42" t="str">
        <f t="shared" ref="A4:A16" si="0">A$3</f>
        <v>B06</v>
      </c>
      <c r="B4" s="39" t="str">
        <f t="shared" ref="B4:B16" si="1">B$3</f>
        <v>WIND</v>
      </c>
      <c r="C4" s="39" t="str">
        <f t="shared" ref="C4:C16" si="2">$C$3</f>
        <v>Έμμεση</v>
      </c>
      <c r="D4" s="209">
        <f>IF(S4="",IF(ΓΕΝΙΚΑ!$B$20="ΝΑΙ",14664,""),"")</f>
        <v>14664</v>
      </c>
      <c r="E4" s="21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5">
        <f t="shared" ref="G4:G16" si="3">IF(AND(ISNUMBER(H4),ISNUMBER(J4)),ROUND(H4/J4,2),"N/A")</f>
        <v>0.19</v>
      </c>
      <c r="H4" s="305">
        <v>773</v>
      </c>
      <c r="I4" s="237">
        <f t="shared" ref="I4:I16" si="4">IF(ISNUMBER(H4),ROUND(H4,0),"")</f>
        <v>773</v>
      </c>
      <c r="J4" s="307">
        <v>4120</v>
      </c>
      <c r="K4" s="294">
        <f t="shared" ref="K4:K16" si="5">IF(ISNUMBER(J4),ROUND(J4,0),"")</f>
        <v>4120</v>
      </c>
      <c r="L4" s="251" t="str">
        <f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4" s="252" t="str">
        <f>M$3</f>
        <v/>
      </c>
      <c r="O4" s="130" t="str">
        <f t="shared" ref="O4:O16" si="6">IF(P4&lt;&gt;"","ΣΦΑΛΜΑ","")</f>
        <v/>
      </c>
      <c r="P4" s="148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75" x14ac:dyDescent="0.25">
      <c r="A5" s="42" t="str">
        <f t="shared" si="0"/>
        <v>B06</v>
      </c>
      <c r="B5" s="39" t="str">
        <f t="shared" si="1"/>
        <v>WIND</v>
      </c>
      <c r="C5" s="39" t="str">
        <f t="shared" si="2"/>
        <v>Έμμεση</v>
      </c>
      <c r="D5" s="222">
        <f>IF(S5="",IF(ΓΕΝΙΚΑ!$B$20="ΝΑΙ",14666,""),"")</f>
        <v>14666</v>
      </c>
      <c r="E5" s="213" t="str">
        <f>IF(ΓΕΝΙΚΑ!$B$21="ΝΑΙ","Π. ΑΤΤΙΚΗΣ","")</f>
        <v>Π. ΑΤΤΙΚΗΣ</v>
      </c>
      <c r="F5" s="7" t="s">
        <v>40</v>
      </c>
      <c r="G5" s="255">
        <f t="shared" si="3"/>
        <v>0.27</v>
      </c>
      <c r="H5" s="305">
        <v>15959</v>
      </c>
      <c r="I5" s="237">
        <f t="shared" si="4"/>
        <v>15959</v>
      </c>
      <c r="J5" s="307">
        <v>59366</v>
      </c>
      <c r="K5" s="294">
        <f t="shared" si="5"/>
        <v>59366</v>
      </c>
      <c r="L5" s="251" t="str">
        <f t="shared" ref="L5:M16" si="7"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5" s="252" t="str">
        <f t="shared" si="7"/>
        <v/>
      </c>
      <c r="O5" s="130" t="str">
        <f t="shared" si="6"/>
        <v/>
      </c>
      <c r="P5" s="148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75" x14ac:dyDescent="0.25">
      <c r="A6" s="42" t="str">
        <f t="shared" si="0"/>
        <v>B06</v>
      </c>
      <c r="B6" s="39" t="str">
        <f t="shared" si="1"/>
        <v>WIND</v>
      </c>
      <c r="C6" s="39" t="str">
        <f t="shared" si="2"/>
        <v>Έμμεση</v>
      </c>
      <c r="D6" s="209">
        <f>IF(S3="",IF(ΓΕΝΙΚΑ!$B$20="ΝΑΙ",14668,""),"")</f>
        <v>14668</v>
      </c>
      <c r="E6" s="212" t="str">
        <f>IF(ΓΕΝΙΚΑ!$B$21="ΝΑΙ","Π. ΒΟΡΕΙΟΥ ΑΙΓΑΙΟΥ","")</f>
        <v>Π. ΒΟΡΕΙΟΥ ΑΙΓΑΙΟΥ</v>
      </c>
      <c r="F6" s="24" t="s">
        <v>404</v>
      </c>
      <c r="G6" s="255">
        <f t="shared" si="3"/>
        <v>0.45</v>
      </c>
      <c r="H6" s="305">
        <v>166</v>
      </c>
      <c r="I6" s="237">
        <f t="shared" si="4"/>
        <v>166</v>
      </c>
      <c r="J6" s="307">
        <v>373</v>
      </c>
      <c r="K6" s="294">
        <f t="shared" si="5"/>
        <v>373</v>
      </c>
      <c r="L6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6" s="252" t="str">
        <f t="shared" si="7"/>
        <v/>
      </c>
      <c r="O6" s="130" t="str">
        <f t="shared" si="6"/>
        <v/>
      </c>
      <c r="P6" s="148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75" x14ac:dyDescent="0.25">
      <c r="A7" s="42" t="str">
        <f t="shared" si="0"/>
        <v>B06</v>
      </c>
      <c r="B7" s="39" t="str">
        <f t="shared" si="1"/>
        <v>WIND</v>
      </c>
      <c r="C7" s="39" t="str">
        <f t="shared" si="2"/>
        <v>Έμμεση</v>
      </c>
      <c r="D7" s="222">
        <f>IF(S7="",IF(ΓΕΝΙΚΑ!$B$20="ΝΑΙ",14670,""),"")</f>
        <v>14670</v>
      </c>
      <c r="E7" s="213" t="str">
        <f>IF(ΓΕΝΙΚΑ!$B$21="ΝΑΙ","Π. ΔΥΤΙΚΗΣ ΕΛΛΑΔΑΣ","")</f>
        <v>Π. ΔΥΤΙΚΗΣ ΕΛΛΑΔΑΣ</v>
      </c>
      <c r="F7" s="7" t="s">
        <v>405</v>
      </c>
      <c r="G7" s="255">
        <f t="shared" si="3"/>
        <v>0.34</v>
      </c>
      <c r="H7" s="305">
        <v>1661</v>
      </c>
      <c r="I7" s="237">
        <f t="shared" si="4"/>
        <v>1661</v>
      </c>
      <c r="J7" s="307">
        <v>4840</v>
      </c>
      <c r="K7" s="294">
        <f t="shared" si="5"/>
        <v>4840</v>
      </c>
      <c r="L7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7" s="252" t="str">
        <f t="shared" si="7"/>
        <v/>
      </c>
      <c r="O7" s="130" t="str">
        <f t="shared" si="6"/>
        <v/>
      </c>
      <c r="P7" s="148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75" x14ac:dyDescent="0.25">
      <c r="A8" s="42" t="str">
        <f t="shared" si="0"/>
        <v>B06</v>
      </c>
      <c r="B8" s="39" t="str">
        <f t="shared" si="1"/>
        <v>WIND</v>
      </c>
      <c r="C8" s="39" t="str">
        <f t="shared" si="2"/>
        <v>Έμμεση</v>
      </c>
      <c r="D8" s="209">
        <f>IF(S8="",IF(ΓΕΝΙΚΑ!$B$20="ΝΑΙ",14672,""),"")</f>
        <v>14672</v>
      </c>
      <c r="E8" s="212" t="str">
        <f>IF(ΓΕΝΙΚΑ!$B$21="ΝΑΙ","Π. ΔΥΤΙΚΗΣ ΜΑΚΕΔΟΝΙΑΣ","")</f>
        <v>Π. ΔΥΤΙΚΗΣ ΜΑΚΕΔΟΝΙΑΣ</v>
      </c>
      <c r="F8" s="24" t="s">
        <v>406</v>
      </c>
      <c r="G8" s="255">
        <f t="shared" si="3"/>
        <v>0.27</v>
      </c>
      <c r="H8" s="305">
        <v>218</v>
      </c>
      <c r="I8" s="237">
        <f t="shared" si="4"/>
        <v>218</v>
      </c>
      <c r="J8" s="307">
        <v>801</v>
      </c>
      <c r="K8" s="294">
        <f t="shared" si="5"/>
        <v>801</v>
      </c>
      <c r="L8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8" s="252" t="str">
        <f t="shared" si="7"/>
        <v/>
      </c>
      <c r="O8" s="130" t="str">
        <f t="shared" si="6"/>
        <v/>
      </c>
      <c r="P8" s="148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75" x14ac:dyDescent="0.25">
      <c r="A9" s="42" t="str">
        <f t="shared" si="0"/>
        <v>B06</v>
      </c>
      <c r="B9" s="39" t="str">
        <f t="shared" si="1"/>
        <v>WIND</v>
      </c>
      <c r="C9" s="39" t="str">
        <f t="shared" si="2"/>
        <v>Έμμεση</v>
      </c>
      <c r="D9" s="222">
        <f>IF(S9="",IF(ΓΕΝΙΚΑ!$B$20="ΝΑΙ",14674,""),"")</f>
        <v>14674</v>
      </c>
      <c r="E9" s="213" t="str">
        <f>IF(ΓΕΝΙΚΑ!$B$21="ΝΑΙ","Π. ΗΠΕΙΡΟΥ","")</f>
        <v>Π. ΗΠΕΙΡΟΥ</v>
      </c>
      <c r="F9" s="7" t="s">
        <v>407</v>
      </c>
      <c r="G9" s="255">
        <f t="shared" si="3"/>
        <v>0.37</v>
      </c>
      <c r="H9" s="305">
        <v>416</v>
      </c>
      <c r="I9" s="237">
        <f t="shared" si="4"/>
        <v>416</v>
      </c>
      <c r="J9" s="307">
        <v>1137</v>
      </c>
      <c r="K9" s="294">
        <f t="shared" si="5"/>
        <v>1137</v>
      </c>
      <c r="L9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9" s="252" t="str">
        <f t="shared" si="7"/>
        <v/>
      </c>
      <c r="O9" s="130" t="str">
        <f t="shared" si="6"/>
        <v/>
      </c>
      <c r="P9" s="148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75" x14ac:dyDescent="0.25">
      <c r="A10" s="42" t="str">
        <f t="shared" si="0"/>
        <v>B06</v>
      </c>
      <c r="B10" s="39" t="str">
        <f t="shared" si="1"/>
        <v>WIND</v>
      </c>
      <c r="C10" s="39" t="str">
        <f t="shared" si="2"/>
        <v>Έμμεση</v>
      </c>
      <c r="D10" s="209">
        <f>IF(S10="",IF(ΓΕΝΙΚΑ!$B$20="ΝΑΙ",14676,""),"")</f>
        <v>14676</v>
      </c>
      <c r="E10" s="212" t="str">
        <f>IF(ΓΕΝΙΚΑ!$B$21="ΝΑΙ","Π. ΘΕΣΣΑΛΙΑΣ","")</f>
        <v>Π. ΘΕΣΣΑΛΙΑΣ</v>
      </c>
      <c r="F10" s="24" t="s">
        <v>408</v>
      </c>
      <c r="G10" s="255">
        <f t="shared" si="3"/>
        <v>0.38</v>
      </c>
      <c r="H10" s="305">
        <v>1434</v>
      </c>
      <c r="I10" s="237">
        <f t="shared" si="4"/>
        <v>1434</v>
      </c>
      <c r="J10" s="307">
        <v>3729</v>
      </c>
      <c r="K10" s="294">
        <f t="shared" si="5"/>
        <v>3729</v>
      </c>
      <c r="L10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0" s="252" t="str">
        <f t="shared" si="7"/>
        <v/>
      </c>
      <c r="O10" s="130" t="str">
        <f t="shared" si="6"/>
        <v/>
      </c>
      <c r="P10" s="148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75" x14ac:dyDescent="0.25">
      <c r="A11" s="42" t="str">
        <f t="shared" si="0"/>
        <v>B06</v>
      </c>
      <c r="B11" s="39" t="str">
        <f t="shared" si="1"/>
        <v>WIND</v>
      </c>
      <c r="C11" s="39" t="str">
        <f t="shared" si="2"/>
        <v>Έμμεση</v>
      </c>
      <c r="D11" s="222">
        <f>IF(S11="",IF(ΓΕΝΙΚΑ!$B$20="ΝΑΙ",14678,""),"")</f>
        <v>14678</v>
      </c>
      <c r="E11" s="213" t="str">
        <f>IF(ΓΕΝΙΚΑ!$B$21="ΝΑΙ","Π. ΙΟΝΙΩΝ ΝΗΣΩΝ","")</f>
        <v>Π. ΙΟΝΙΩΝ ΝΗΣΩΝ</v>
      </c>
      <c r="F11" s="7" t="s">
        <v>409</v>
      </c>
      <c r="G11" s="255">
        <f t="shared" si="3"/>
        <v>0.45</v>
      </c>
      <c r="H11" s="305">
        <v>338</v>
      </c>
      <c r="I11" s="237">
        <f t="shared" si="4"/>
        <v>338</v>
      </c>
      <c r="J11" s="307">
        <v>753</v>
      </c>
      <c r="K11" s="294">
        <f t="shared" si="5"/>
        <v>753</v>
      </c>
      <c r="L11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1" s="252" t="str">
        <f t="shared" si="7"/>
        <v/>
      </c>
      <c r="O11" s="130" t="str">
        <f t="shared" si="6"/>
        <v/>
      </c>
      <c r="P11" s="148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75" x14ac:dyDescent="0.25">
      <c r="A12" s="42" t="str">
        <f t="shared" si="0"/>
        <v>B06</v>
      </c>
      <c r="B12" s="39" t="str">
        <f t="shared" si="1"/>
        <v>WIND</v>
      </c>
      <c r="C12" s="39" t="str">
        <f t="shared" si="2"/>
        <v>Έμμεση</v>
      </c>
      <c r="D12" s="209">
        <f>IF(S12="",IF(ΓΕΝΙΚΑ!$B$20="ΝΑΙ",14680,""),"")</f>
        <v>14680</v>
      </c>
      <c r="E12" s="212" t="str">
        <f>IF(ΓΕΝΙΚΑ!$B$21="ΝΑΙ","Π. ΚΕΝΤΡΙΚΗΣ ΜΑΚΕΔΟΝΙΑΣ","")</f>
        <v>Π. ΚΕΝΤΡΙΚΗΣ ΜΑΚΕΔΟΝΙΑΣ</v>
      </c>
      <c r="F12" s="24" t="s">
        <v>410</v>
      </c>
      <c r="G12" s="255">
        <f t="shared" si="3"/>
        <v>0.27</v>
      </c>
      <c r="H12" s="305">
        <v>3902</v>
      </c>
      <c r="I12" s="237">
        <f t="shared" si="4"/>
        <v>3902</v>
      </c>
      <c r="J12" s="307">
        <v>14246</v>
      </c>
      <c r="K12" s="294">
        <f t="shared" si="5"/>
        <v>14246</v>
      </c>
      <c r="L12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2" s="252" t="str">
        <f t="shared" si="7"/>
        <v/>
      </c>
      <c r="O12" s="130" t="str">
        <f t="shared" si="6"/>
        <v/>
      </c>
      <c r="P12" s="148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75" x14ac:dyDescent="0.25">
      <c r="A13" s="42" t="str">
        <f t="shared" si="0"/>
        <v>B06</v>
      </c>
      <c r="B13" s="39" t="str">
        <f t="shared" si="1"/>
        <v>WIND</v>
      </c>
      <c r="C13" s="39" t="str">
        <f t="shared" si="2"/>
        <v>Έμμεση</v>
      </c>
      <c r="D13" s="222">
        <f>IF(S13="",IF(ΓΕΝΙΚΑ!$B$20="ΝΑΙ",14682,""),"")</f>
        <v>14682</v>
      </c>
      <c r="E13" s="213" t="str">
        <f>IF(ΓΕΝΙΚΑ!$B$21="ΝΑΙ","Π. ΚΡΗΤΗΣ","")</f>
        <v>Π. ΚΡΗΤΗΣ</v>
      </c>
      <c r="F13" s="7" t="s">
        <v>411</v>
      </c>
      <c r="G13" s="255">
        <f t="shared" si="3"/>
        <v>0.32</v>
      </c>
      <c r="H13" s="305">
        <v>964</v>
      </c>
      <c r="I13" s="237">
        <f t="shared" si="4"/>
        <v>964</v>
      </c>
      <c r="J13" s="307">
        <v>2987</v>
      </c>
      <c r="K13" s="294">
        <f t="shared" si="5"/>
        <v>2987</v>
      </c>
      <c r="L13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3" s="252" t="str">
        <f t="shared" si="7"/>
        <v/>
      </c>
      <c r="O13" s="130" t="str">
        <f t="shared" si="6"/>
        <v/>
      </c>
      <c r="P13" s="148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75" x14ac:dyDescent="0.25">
      <c r="A14" s="42" t="str">
        <f t="shared" si="0"/>
        <v>B06</v>
      </c>
      <c r="B14" s="39" t="str">
        <f t="shared" si="1"/>
        <v>WIND</v>
      </c>
      <c r="C14" s="39" t="str">
        <f t="shared" si="2"/>
        <v>Έμμεση</v>
      </c>
      <c r="D14" s="209">
        <f>IF(S14="",IF(ΓΕΝΙΚΑ!$B$20="ΝΑΙ",14684,""),"")</f>
        <v>14684</v>
      </c>
      <c r="E14" s="212" t="str">
        <f>IF(ΓΕΝΙΚΑ!$B$21="ΝΑΙ","Π. ΝΟΤΙΟΥ ΑΙΓΑΙΟΥ","")</f>
        <v>Π. ΝΟΤΙΟΥ ΑΙΓΑΙΟΥ</v>
      </c>
      <c r="F14" s="24" t="s">
        <v>412</v>
      </c>
      <c r="G14" s="255">
        <f t="shared" si="3"/>
        <v>0.3</v>
      </c>
      <c r="H14" s="305">
        <v>677</v>
      </c>
      <c r="I14" s="237">
        <f t="shared" si="4"/>
        <v>677</v>
      </c>
      <c r="J14" s="307">
        <v>2280</v>
      </c>
      <c r="K14" s="294">
        <f t="shared" si="5"/>
        <v>2280</v>
      </c>
      <c r="L14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4" s="252" t="str">
        <f t="shared" si="7"/>
        <v/>
      </c>
      <c r="O14" s="130" t="str">
        <f t="shared" si="6"/>
        <v/>
      </c>
      <c r="P14" s="148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75" x14ac:dyDescent="0.25">
      <c r="A15" s="42" t="str">
        <f t="shared" si="0"/>
        <v>B06</v>
      </c>
      <c r="B15" s="39" t="str">
        <f t="shared" si="1"/>
        <v>WIND</v>
      </c>
      <c r="C15" s="39" t="str">
        <f t="shared" si="2"/>
        <v>Έμμεση</v>
      </c>
      <c r="D15" s="222">
        <f>IF(S15="",IF(ΓΕΝΙΚΑ!$B$20="ΝΑΙ",14686,""),"")</f>
        <v>14686</v>
      </c>
      <c r="E15" s="213" t="str">
        <f>IF(ΓΕΝΙΚΑ!$B$21="ΝΑΙ","Π. ΠΕΛΟΠΟΝΝΗΣΟΥ","")</f>
        <v>Π. ΠΕΛΟΠΟΝΝΗΣΟΥ</v>
      </c>
      <c r="F15" s="7" t="s">
        <v>413</v>
      </c>
      <c r="G15" s="255">
        <f t="shared" si="3"/>
        <v>0.34</v>
      </c>
      <c r="H15" s="305">
        <v>710</v>
      </c>
      <c r="I15" s="237">
        <f t="shared" si="4"/>
        <v>710</v>
      </c>
      <c r="J15" s="307">
        <v>2107</v>
      </c>
      <c r="K15" s="294">
        <f t="shared" si="5"/>
        <v>2107</v>
      </c>
      <c r="L15" s="25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5" s="252" t="str">
        <f t="shared" si="7"/>
        <v/>
      </c>
      <c r="O15" s="130" t="str">
        <f t="shared" si="6"/>
        <v/>
      </c>
      <c r="P15" s="148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75.75" thickBot="1" x14ac:dyDescent="0.3">
      <c r="A16" s="43" t="str">
        <f t="shared" si="0"/>
        <v>B06</v>
      </c>
      <c r="B16" s="44" t="str">
        <f t="shared" si="1"/>
        <v>WIND</v>
      </c>
      <c r="C16" s="44" t="str">
        <f t="shared" si="2"/>
        <v>Έμμεση</v>
      </c>
      <c r="D16" s="210">
        <f>IF(S16="",IF(ΓΕΝΙΚΑ!$B$20="ΝΑΙ",14688,""),"")</f>
        <v>14688</v>
      </c>
      <c r="E16" s="214" t="str">
        <f>IF(ΓΕΝΙΚΑ!$B$21="ΝΑΙ","Π. ΣΤΕΡΕΑΣ ΕΛΛΑΔΑΣ","")</f>
        <v>Π. ΣΤΕΡΕΑΣ ΕΛΛΑΔΑΣ</v>
      </c>
      <c r="F16" s="35" t="s">
        <v>414</v>
      </c>
      <c r="G16" s="297">
        <f t="shared" si="3"/>
        <v>0.36</v>
      </c>
      <c r="H16" s="306">
        <v>552</v>
      </c>
      <c r="I16" s="293">
        <f t="shared" si="4"/>
        <v>552</v>
      </c>
      <c r="J16" s="308">
        <v>1528</v>
      </c>
      <c r="K16" s="295">
        <f t="shared" si="5"/>
        <v>1528</v>
      </c>
      <c r="L16" s="253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6" s="254" t="str">
        <f t="shared" si="7"/>
        <v/>
      </c>
      <c r="O16" s="131" t="str">
        <f t="shared" si="6"/>
        <v/>
      </c>
      <c r="P16" s="149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85" zoomScaleNormal="85" workbookViewId="0">
      <selection activeCell="C5" sqref="C5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38.140625" style="238" hidden="1" customWidth="1"/>
    <col min="5" max="5" width="37.42578125" style="238" hidden="1" customWidth="1"/>
    <col min="6" max="6" width="38.140625" style="160" customWidth="1"/>
    <col min="7" max="7" width="26" style="160" customWidth="1"/>
    <col min="8" max="8" width="28.28515625" style="160" customWidth="1"/>
    <col min="9" max="9" width="28.28515625" style="160" hidden="1" customWidth="1"/>
    <col min="10" max="10" width="35.140625" style="160" customWidth="1"/>
    <col min="11" max="11" width="28.28515625" style="160" hidden="1" customWidth="1"/>
    <col min="12" max="12" width="18.140625" style="160" customWidth="1"/>
    <col min="13" max="13" width="28.28515625" style="160" customWidth="1"/>
    <col min="14" max="14" width="28.28515625" style="160" hidden="1" customWidth="1"/>
    <col min="15" max="15" width="40.28515625" style="160" customWidth="1"/>
    <col min="16" max="17" width="31.28515625" style="160" customWidth="1"/>
    <col min="18" max="18" width="9.140625" style="160" customWidth="1"/>
    <col min="19" max="19" width="16.140625" style="160" customWidth="1"/>
    <col min="20" max="20" width="72.7109375" style="160" customWidth="1"/>
    <col min="21" max="16384" width="9.140625" style="160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6" t="s">
        <v>905</v>
      </c>
      <c r="E1" s="21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90.75" thickTop="1" x14ac:dyDescent="0.25">
      <c r="A3" s="40" t="s">
        <v>469</v>
      </c>
      <c r="B3" s="48" t="str">
        <f>ΓΕΝΙΚΑ!C4</f>
        <v>WIND</v>
      </c>
      <c r="C3" s="138" t="s">
        <v>435</v>
      </c>
      <c r="D3" s="221">
        <f>IF(S3="",IF(ΓΕΝΙΚΑ!$B$20="ΝΑΙ",15300,""),"")</f>
        <v>15300</v>
      </c>
      <c r="E3" s="211" t="str">
        <f>IF(ΓΕΝΙΚΑ!$B$22="ΝΑΙ","ΠΑΝΕΛΛΑΔΙΚΑ","")</f>
        <v>ΠΑΝΕΛΛΑΔΙΚΑ</v>
      </c>
      <c r="F3" s="41" t="s">
        <v>555</v>
      </c>
      <c r="G3" s="5">
        <v>50</v>
      </c>
      <c r="H3" s="173">
        <v>56.434619094171808</v>
      </c>
      <c r="I3" s="236">
        <f t="shared" ref="I3:I30" si="0">IF(ISNUMBER(H3),ROUND(H3,2),"")</f>
        <v>56.43</v>
      </c>
      <c r="J3" s="173">
        <v>72.070936461384562</v>
      </c>
      <c r="K3" s="140">
        <f>IF(ISNUMBER(J3),ROUND(J3,2),"")</f>
        <v>72.069999999999993</v>
      </c>
      <c r="L3" s="57">
        <f>IF(AND(ISNUMBER(H3),ISNUMBER(J3)),ROUND(H3+J3,0),IF(ISNUMBER(H3),ROUND(H3,0),IF(ISNUMBER(J3),ROUND(J3,0),"N/A")))</f>
        <v>129</v>
      </c>
      <c r="M3" s="310">
        <v>23.828611111111101</v>
      </c>
      <c r="N3" s="278">
        <f>IF(ISNUMBER(M3),ROUND(M3,0),"")</f>
        <v>24</v>
      </c>
      <c r="O3" s="309" t="s">
        <v>937</v>
      </c>
      <c r="P3" s="234" t="s">
        <v>925</v>
      </c>
      <c r="Q3" s="235" t="s">
        <v>925</v>
      </c>
      <c r="S3" s="130" t="str">
        <f>IF(T3="","","ΣΦΑΛΜΑ")</f>
        <v/>
      </c>
      <c r="T3" s="184" t="str">
        <f>CONCATENATE(IF(NOT(ISNUMBER(H3)),U3,IF(H3&gt;H17,W3,"")),IF(J3&gt;J17,X3,""))</f>
        <v/>
      </c>
      <c r="U3" s="183" t="s">
        <v>575</v>
      </c>
      <c r="V3" s="183" t="s">
        <v>917</v>
      </c>
      <c r="W3" s="183" t="s">
        <v>918</v>
      </c>
      <c r="X3" s="183" t="s">
        <v>919</v>
      </c>
      <c r="Y3" s="183" t="s">
        <v>920</v>
      </c>
      <c r="Z3" s="183" t="s">
        <v>579</v>
      </c>
    </row>
    <row r="4" spans="1:26" ht="90" x14ac:dyDescent="0.25">
      <c r="A4" s="42" t="str">
        <f t="shared" ref="A4:B30" si="1">A$3</f>
        <v>B07</v>
      </c>
      <c r="B4" s="39" t="str">
        <f t="shared" si="1"/>
        <v>WIND</v>
      </c>
      <c r="C4" s="39" t="str">
        <f t="shared" ref="C4:C30" si="2">$C$3</f>
        <v>Έμμεση</v>
      </c>
      <c r="D4" s="209">
        <f>IF(S4="",IF(ΓΕΝΙΚΑ!$B$20="ΝΑΙ",14664,""),"")</f>
        <v>14664</v>
      </c>
      <c r="E4" s="21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74">
        <v>62.674016400032208</v>
      </c>
      <c r="I4" s="236">
        <f t="shared" si="0"/>
        <v>62.67</v>
      </c>
      <c r="J4" s="174">
        <v>81.175150266634816</v>
      </c>
      <c r="K4" s="236">
        <f t="shared" ref="K4:K30" si="3">IF(ISNUMBER(J4),ROUND(J4,2),"")</f>
        <v>81.180000000000007</v>
      </c>
      <c r="L4" s="57">
        <f t="shared" ref="L4:L30" si="4">IF(AND(ISNUMBER(H4),ISNUMBER(J4)),ROUND(H4+J4,0),IF(ISNUMBER(H4),ROUND(H4,0),IF(ISNUMBER(J4),ROUND(J4,0),"N/A")))</f>
        <v>144</v>
      </c>
      <c r="M4" s="311">
        <v>16.7083333333333</v>
      </c>
      <c r="N4" s="278">
        <f t="shared" ref="N4:N30" si="5">IF(ISNUMBER(M4),ROUND(M4,0),"")</f>
        <v>17</v>
      </c>
      <c r="O4" s="251" t="str">
        <f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4" s="251" t="str">
        <f t="shared" ref="P4:Q30" si="6">P$3</f>
        <v/>
      </c>
      <c r="Q4" s="252" t="str">
        <f t="shared" si="6"/>
        <v/>
      </c>
      <c r="S4" s="130" t="str">
        <f t="shared" ref="S4:S30" si="7">IF(T4="","","ΣΦΑΛΜΑ")</f>
        <v/>
      </c>
      <c r="T4" s="184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3" t="s">
        <v>575</v>
      </c>
      <c r="V4" s="183" t="s">
        <v>917</v>
      </c>
      <c r="W4" s="183" t="s">
        <v>918</v>
      </c>
      <c r="X4" s="183" t="s">
        <v>919</v>
      </c>
      <c r="Y4" s="183" t="s">
        <v>920</v>
      </c>
      <c r="Z4" s="183" t="s">
        <v>579</v>
      </c>
    </row>
    <row r="5" spans="1:26" ht="90" x14ac:dyDescent="0.25">
      <c r="A5" s="42" t="str">
        <f t="shared" si="1"/>
        <v>B07</v>
      </c>
      <c r="B5" s="39" t="str">
        <f t="shared" si="1"/>
        <v>WIND</v>
      </c>
      <c r="C5" s="39" t="str">
        <f t="shared" si="2"/>
        <v>Έμμεση</v>
      </c>
      <c r="D5" s="222">
        <f>IF(S5="",IF(ΓΕΝΙΚΑ!$B$20="ΝΑΙ",14666,""),"")</f>
        <v>14666</v>
      </c>
      <c r="E5" s="213" t="str">
        <f>IF(ΓΕΝΙΚΑ!$B$22="ΝΑΙ","Π. ΑΤΤΙΚΗΣ","")</f>
        <v>Π. ΑΤΤΙΚΗΣ</v>
      </c>
      <c r="F5" s="7" t="s">
        <v>40</v>
      </c>
      <c r="G5" s="7">
        <v>50</v>
      </c>
      <c r="H5" s="174">
        <v>53.783805227559945</v>
      </c>
      <c r="I5" s="236">
        <f t="shared" si="0"/>
        <v>53.78</v>
      </c>
      <c r="J5" s="174">
        <v>68.071750327996199</v>
      </c>
      <c r="K5" s="236">
        <f t="shared" si="3"/>
        <v>68.069999999999993</v>
      </c>
      <c r="L5" s="57">
        <f t="shared" si="4"/>
        <v>122</v>
      </c>
      <c r="M5" s="311">
        <v>24.445833333333301</v>
      </c>
      <c r="N5" s="278">
        <f t="shared" si="5"/>
        <v>24</v>
      </c>
      <c r="O5" s="251" t="str">
        <f t="shared" ref="O5:O30" si="8"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5" s="251" t="str">
        <f t="shared" si="6"/>
        <v/>
      </c>
      <c r="Q5" s="252" t="str">
        <f t="shared" si="6"/>
        <v/>
      </c>
      <c r="S5" s="130" t="str">
        <f t="shared" si="7"/>
        <v/>
      </c>
      <c r="T5" s="184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3" t="s">
        <v>575</v>
      </c>
      <c r="V5" s="183" t="s">
        <v>917</v>
      </c>
      <c r="W5" s="183" t="s">
        <v>918</v>
      </c>
      <c r="X5" s="183" t="s">
        <v>919</v>
      </c>
      <c r="Y5" s="183" t="s">
        <v>920</v>
      </c>
      <c r="Z5" s="183" t="s">
        <v>579</v>
      </c>
    </row>
    <row r="6" spans="1:26" ht="90" x14ac:dyDescent="0.25">
      <c r="A6" s="42" t="str">
        <f t="shared" si="1"/>
        <v>B07</v>
      </c>
      <c r="B6" s="39" t="str">
        <f t="shared" si="1"/>
        <v>WIND</v>
      </c>
      <c r="C6" s="39" t="str">
        <f t="shared" si="2"/>
        <v>Έμμεση</v>
      </c>
      <c r="D6" s="209">
        <f>IF(S3="",IF(ΓΕΝΙΚΑ!$B$20="ΝΑΙ",14668,""),"")</f>
        <v>14668</v>
      </c>
      <c r="E6" s="21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74">
        <v>28.963742710738998</v>
      </c>
      <c r="I6" s="236">
        <f t="shared" si="0"/>
        <v>28.96</v>
      </c>
      <c r="J6" s="174">
        <v>16.913201733705499</v>
      </c>
      <c r="K6" s="236">
        <f t="shared" si="3"/>
        <v>16.91</v>
      </c>
      <c r="L6" s="57">
        <f t="shared" si="4"/>
        <v>46</v>
      </c>
      <c r="M6" s="311">
        <v>7.93611111111111</v>
      </c>
      <c r="N6" s="278">
        <f t="shared" si="5"/>
        <v>8</v>
      </c>
      <c r="O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6" s="251" t="str">
        <f t="shared" si="6"/>
        <v/>
      </c>
      <c r="Q6" s="252" t="str">
        <f t="shared" si="6"/>
        <v/>
      </c>
      <c r="S6" s="130" t="str">
        <f t="shared" si="7"/>
        <v/>
      </c>
      <c r="T6" s="184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3" t="s">
        <v>575</v>
      </c>
      <c r="V6" s="183" t="s">
        <v>917</v>
      </c>
      <c r="W6" s="183" t="s">
        <v>918</v>
      </c>
      <c r="X6" s="183" t="s">
        <v>919</v>
      </c>
      <c r="Y6" s="183" t="s">
        <v>920</v>
      </c>
      <c r="Z6" s="183" t="s">
        <v>579</v>
      </c>
    </row>
    <row r="7" spans="1:26" ht="90" x14ac:dyDescent="0.25">
      <c r="A7" s="42" t="str">
        <f t="shared" si="1"/>
        <v>B07</v>
      </c>
      <c r="B7" s="39" t="str">
        <f t="shared" si="1"/>
        <v>WIND</v>
      </c>
      <c r="C7" s="39" t="str">
        <f t="shared" si="2"/>
        <v>Έμμεση</v>
      </c>
      <c r="D7" s="222">
        <f>IF(S7="",IF(ΓΕΝΙΚΑ!$B$20="ΝΑΙ",14670,""),"")</f>
        <v>14670</v>
      </c>
      <c r="E7" s="21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74">
        <v>55.977223447456218</v>
      </c>
      <c r="I7" s="236">
        <f t="shared" si="0"/>
        <v>55.98</v>
      </c>
      <c r="J7" s="174">
        <v>73.879165441432903</v>
      </c>
      <c r="K7" s="236">
        <f t="shared" si="3"/>
        <v>73.88</v>
      </c>
      <c r="L7" s="57">
        <f t="shared" si="4"/>
        <v>130</v>
      </c>
      <c r="M7" s="311">
        <v>21.106944444444402</v>
      </c>
      <c r="N7" s="278">
        <f t="shared" si="5"/>
        <v>21</v>
      </c>
      <c r="O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7" s="251" t="str">
        <f t="shared" si="6"/>
        <v/>
      </c>
      <c r="Q7" s="252" t="str">
        <f t="shared" si="6"/>
        <v/>
      </c>
      <c r="S7" s="130" t="str">
        <f t="shared" si="7"/>
        <v/>
      </c>
      <c r="T7" s="184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3" t="s">
        <v>575</v>
      </c>
      <c r="V7" s="183" t="s">
        <v>917</v>
      </c>
      <c r="W7" s="183" t="s">
        <v>918</v>
      </c>
      <c r="X7" s="183" t="s">
        <v>919</v>
      </c>
      <c r="Y7" s="183" t="s">
        <v>920</v>
      </c>
      <c r="Z7" s="183" t="s">
        <v>579</v>
      </c>
    </row>
    <row r="8" spans="1:26" ht="90" x14ac:dyDescent="0.25">
      <c r="A8" s="42" t="str">
        <f t="shared" si="1"/>
        <v>B07</v>
      </c>
      <c r="B8" s="39" t="str">
        <f t="shared" si="1"/>
        <v>WIND</v>
      </c>
      <c r="C8" s="39" t="str">
        <f t="shared" si="2"/>
        <v>Έμμεση</v>
      </c>
      <c r="D8" s="209">
        <f>IF(S8="",IF(ΓΕΝΙΚΑ!$B$20="ΝΑΙ",14672,""),"")</f>
        <v>14672</v>
      </c>
      <c r="E8" s="21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74">
        <v>70.718187309912977</v>
      </c>
      <c r="I8" s="236">
        <f t="shared" si="0"/>
        <v>70.72</v>
      </c>
      <c r="J8" s="174">
        <v>87.202646023420002</v>
      </c>
      <c r="K8" s="236">
        <f t="shared" si="3"/>
        <v>87.2</v>
      </c>
      <c r="L8" s="57">
        <f t="shared" si="4"/>
        <v>158</v>
      </c>
      <c r="M8" s="311">
        <v>28.245000000000001</v>
      </c>
      <c r="N8" s="278">
        <f t="shared" si="5"/>
        <v>28</v>
      </c>
      <c r="O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8" s="251" t="str">
        <f t="shared" si="6"/>
        <v/>
      </c>
      <c r="Q8" s="252" t="str">
        <f t="shared" si="6"/>
        <v/>
      </c>
      <c r="S8" s="130" t="str">
        <f t="shared" si="7"/>
        <v/>
      </c>
      <c r="T8" s="184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3" t="s">
        <v>575</v>
      </c>
      <c r="V8" s="183" t="s">
        <v>917</v>
      </c>
      <c r="W8" s="183" t="s">
        <v>918</v>
      </c>
      <c r="X8" s="183" t="s">
        <v>919</v>
      </c>
      <c r="Y8" s="183" t="s">
        <v>920</v>
      </c>
      <c r="Z8" s="183" t="s">
        <v>579</v>
      </c>
    </row>
    <row r="9" spans="1:26" ht="90" x14ac:dyDescent="0.25">
      <c r="A9" s="42" t="str">
        <f t="shared" si="1"/>
        <v>B07</v>
      </c>
      <c r="B9" s="39" t="str">
        <f t="shared" si="1"/>
        <v>WIND</v>
      </c>
      <c r="C9" s="39" t="str">
        <f t="shared" si="2"/>
        <v>Έμμεση</v>
      </c>
      <c r="D9" s="222">
        <f>IF(S9="",IF(ΓΕΝΙΚΑ!$B$20="ΝΑΙ",14674,""),"")</f>
        <v>14674</v>
      </c>
      <c r="E9" s="213" t="str">
        <f>IF(ΓΕΝΙΚΑ!$B$22="ΝΑΙ","Π. ΗΠΕΙΡΟΥ","")</f>
        <v>Π. ΗΠΕΙΡΟΥ</v>
      </c>
      <c r="F9" s="7" t="s">
        <v>407</v>
      </c>
      <c r="G9" s="7">
        <v>50</v>
      </c>
      <c r="H9" s="174">
        <v>59.46097964982107</v>
      </c>
      <c r="I9" s="236">
        <f t="shared" si="0"/>
        <v>59.46</v>
      </c>
      <c r="J9" s="174">
        <v>100.36179812795692</v>
      </c>
      <c r="K9" s="236">
        <f t="shared" si="3"/>
        <v>100.36</v>
      </c>
      <c r="L9" s="57">
        <f t="shared" si="4"/>
        <v>160</v>
      </c>
      <c r="M9" s="311">
        <v>22.665555555555599</v>
      </c>
      <c r="N9" s="278">
        <f t="shared" si="5"/>
        <v>23</v>
      </c>
      <c r="O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9" s="251" t="str">
        <f t="shared" si="6"/>
        <v/>
      </c>
      <c r="Q9" s="252" t="str">
        <f t="shared" si="6"/>
        <v/>
      </c>
      <c r="S9" s="130" t="str">
        <f t="shared" si="7"/>
        <v/>
      </c>
      <c r="T9" s="184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3" t="s">
        <v>575</v>
      </c>
      <c r="V9" s="183" t="s">
        <v>917</v>
      </c>
      <c r="W9" s="183" t="s">
        <v>918</v>
      </c>
      <c r="X9" s="183" t="s">
        <v>919</v>
      </c>
      <c r="Y9" s="183" t="s">
        <v>920</v>
      </c>
      <c r="Z9" s="183" t="s">
        <v>579</v>
      </c>
    </row>
    <row r="10" spans="1:26" ht="90" x14ac:dyDescent="0.25">
      <c r="A10" s="42" t="str">
        <f t="shared" si="1"/>
        <v>B07</v>
      </c>
      <c r="B10" s="39" t="str">
        <f t="shared" si="1"/>
        <v>WIND</v>
      </c>
      <c r="C10" s="39" t="str">
        <f t="shared" si="2"/>
        <v>Έμμεση</v>
      </c>
      <c r="D10" s="209">
        <f>IF(S10="",IF(ΓΕΝΙΚΑ!$B$20="ΝΑΙ",14676,""),"")</f>
        <v>14676</v>
      </c>
      <c r="E10" s="212" t="str">
        <f>IF(ΓΕΝΙΚΑ!$B$22="ΝΑΙ","Π. ΘΕΣΣΑΛΙΑΣ","")</f>
        <v>Π. ΘΕΣΣΑΛΙΑΣ</v>
      </c>
      <c r="F10" s="7" t="s">
        <v>408</v>
      </c>
      <c r="G10" s="7">
        <v>50</v>
      </c>
      <c r="H10" s="174">
        <v>68.492414536540437</v>
      </c>
      <c r="I10" s="236">
        <f t="shared" si="0"/>
        <v>68.489999999999995</v>
      </c>
      <c r="J10" s="174">
        <v>69.085363241237616</v>
      </c>
      <c r="K10" s="236">
        <f t="shared" si="3"/>
        <v>69.09</v>
      </c>
      <c r="L10" s="57">
        <f t="shared" si="4"/>
        <v>138</v>
      </c>
      <c r="M10" s="311">
        <v>24.661666666666701</v>
      </c>
      <c r="N10" s="278">
        <f t="shared" si="5"/>
        <v>25</v>
      </c>
      <c r="O10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0" s="251" t="str">
        <f t="shared" si="6"/>
        <v/>
      </c>
      <c r="Q10" s="252" t="str">
        <f t="shared" si="6"/>
        <v/>
      </c>
      <c r="S10" s="130" t="str">
        <f t="shared" si="7"/>
        <v/>
      </c>
      <c r="T10" s="184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3" t="s">
        <v>575</v>
      </c>
      <c r="V10" s="183" t="s">
        <v>917</v>
      </c>
      <c r="W10" s="183" t="s">
        <v>918</v>
      </c>
      <c r="X10" s="183" t="s">
        <v>919</v>
      </c>
      <c r="Y10" s="183" t="s">
        <v>920</v>
      </c>
      <c r="Z10" s="183" t="s">
        <v>579</v>
      </c>
    </row>
    <row r="11" spans="1:26" ht="90" x14ac:dyDescent="0.25">
      <c r="A11" s="42" t="str">
        <f t="shared" si="1"/>
        <v>B07</v>
      </c>
      <c r="B11" s="39" t="str">
        <f t="shared" si="1"/>
        <v>WIND</v>
      </c>
      <c r="C11" s="39" t="str">
        <f t="shared" si="2"/>
        <v>Έμμεση</v>
      </c>
      <c r="D11" s="222">
        <f>IF(S11="",IF(ΓΕΝΙΚΑ!$B$20="ΝΑΙ",14678,""),"")</f>
        <v>14678</v>
      </c>
      <c r="E11" s="21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74">
        <v>63.329469533052091</v>
      </c>
      <c r="I11" s="236">
        <f t="shared" si="0"/>
        <v>63.33</v>
      </c>
      <c r="J11" s="174">
        <v>74.790808244725923</v>
      </c>
      <c r="K11" s="236">
        <f t="shared" si="3"/>
        <v>74.790000000000006</v>
      </c>
      <c r="L11" s="57">
        <f t="shared" si="4"/>
        <v>138</v>
      </c>
      <c r="M11" s="311">
        <v>17.525833333333299</v>
      </c>
      <c r="N11" s="278">
        <f t="shared" si="5"/>
        <v>18</v>
      </c>
      <c r="O11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1" s="251" t="str">
        <f t="shared" si="6"/>
        <v/>
      </c>
      <c r="Q11" s="252" t="str">
        <f t="shared" si="6"/>
        <v/>
      </c>
      <c r="S11" s="130" t="str">
        <f t="shared" si="7"/>
        <v/>
      </c>
      <c r="T11" s="184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3" t="s">
        <v>575</v>
      </c>
      <c r="V11" s="183" t="s">
        <v>917</v>
      </c>
      <c r="W11" s="183" t="s">
        <v>918</v>
      </c>
      <c r="X11" s="183" t="s">
        <v>919</v>
      </c>
      <c r="Y11" s="183" t="s">
        <v>920</v>
      </c>
      <c r="Z11" s="183" t="s">
        <v>579</v>
      </c>
    </row>
    <row r="12" spans="1:26" ht="90" x14ac:dyDescent="0.25">
      <c r="A12" s="42" t="str">
        <f t="shared" si="1"/>
        <v>B07</v>
      </c>
      <c r="B12" s="39" t="str">
        <f t="shared" si="1"/>
        <v>WIND</v>
      </c>
      <c r="C12" s="39" t="str">
        <f t="shared" si="2"/>
        <v>Έμμεση</v>
      </c>
      <c r="D12" s="209">
        <f>IF(S12="",IF(ΓΕΝΙΚΑ!$B$20="ΝΑΙ",14680,""),"")</f>
        <v>14680</v>
      </c>
      <c r="E12" s="21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74">
        <v>62.141216421737838</v>
      </c>
      <c r="I12" s="236">
        <f t="shared" si="0"/>
        <v>62.14</v>
      </c>
      <c r="J12" s="174">
        <v>70.066561356040168</v>
      </c>
      <c r="K12" s="236">
        <f t="shared" si="3"/>
        <v>70.069999999999993</v>
      </c>
      <c r="L12" s="57">
        <f t="shared" si="4"/>
        <v>132</v>
      </c>
      <c r="M12" s="311">
        <v>23.088055555555599</v>
      </c>
      <c r="N12" s="278">
        <f t="shared" si="5"/>
        <v>23</v>
      </c>
      <c r="O12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2" s="251" t="str">
        <f t="shared" si="6"/>
        <v/>
      </c>
      <c r="Q12" s="252" t="str">
        <f t="shared" si="6"/>
        <v/>
      </c>
      <c r="S12" s="130" t="str">
        <f t="shared" si="7"/>
        <v/>
      </c>
      <c r="T12" s="184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3" t="s">
        <v>575</v>
      </c>
      <c r="V12" s="183" t="s">
        <v>917</v>
      </c>
      <c r="W12" s="183" t="s">
        <v>918</v>
      </c>
      <c r="X12" s="183" t="s">
        <v>919</v>
      </c>
      <c r="Y12" s="183" t="s">
        <v>920</v>
      </c>
      <c r="Z12" s="183" t="s">
        <v>579</v>
      </c>
    </row>
    <row r="13" spans="1:26" ht="90" x14ac:dyDescent="0.25">
      <c r="A13" s="42" t="str">
        <f t="shared" si="1"/>
        <v>B07</v>
      </c>
      <c r="B13" s="39" t="str">
        <f t="shared" si="1"/>
        <v>WIND</v>
      </c>
      <c r="C13" s="39" t="str">
        <f t="shared" si="2"/>
        <v>Έμμεση</v>
      </c>
      <c r="D13" s="222">
        <f>IF(S13="",IF(ΓΕΝΙΚΑ!$B$20="ΝΑΙ",14682,""),"")</f>
        <v>14682</v>
      </c>
      <c r="E13" s="213" t="str">
        <f>IF(ΓΕΝΙΚΑ!$B$22="ΝΑΙ","Π. ΚΡΗΤΗΣ","")</f>
        <v>Π. ΚΡΗΤΗΣ</v>
      </c>
      <c r="F13" s="7" t="s">
        <v>411</v>
      </c>
      <c r="G13" s="7">
        <v>50</v>
      </c>
      <c r="H13" s="174">
        <v>53.730462552958805</v>
      </c>
      <c r="I13" s="236">
        <f t="shared" si="0"/>
        <v>53.73</v>
      </c>
      <c r="J13" s="174">
        <v>87.160926335930156</v>
      </c>
      <c r="K13" s="236">
        <f t="shared" si="3"/>
        <v>87.16</v>
      </c>
      <c r="L13" s="57">
        <f t="shared" si="4"/>
        <v>141</v>
      </c>
      <c r="M13" s="311">
        <v>18.9097222222222</v>
      </c>
      <c r="N13" s="278">
        <f t="shared" si="5"/>
        <v>19</v>
      </c>
      <c r="O13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3" s="251" t="str">
        <f t="shared" si="6"/>
        <v/>
      </c>
      <c r="Q13" s="252" t="str">
        <f t="shared" si="6"/>
        <v/>
      </c>
      <c r="S13" s="130" t="str">
        <f t="shared" si="7"/>
        <v/>
      </c>
      <c r="T13" s="184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3" t="s">
        <v>575</v>
      </c>
      <c r="V13" s="183" t="s">
        <v>917</v>
      </c>
      <c r="W13" s="183" t="s">
        <v>918</v>
      </c>
      <c r="X13" s="183" t="s">
        <v>919</v>
      </c>
      <c r="Y13" s="183" t="s">
        <v>920</v>
      </c>
      <c r="Z13" s="183" t="s">
        <v>579</v>
      </c>
    </row>
    <row r="14" spans="1:26" ht="90" x14ac:dyDescent="0.25">
      <c r="A14" s="42" t="str">
        <f t="shared" si="1"/>
        <v>B07</v>
      </c>
      <c r="B14" s="39" t="str">
        <f t="shared" si="1"/>
        <v>WIND</v>
      </c>
      <c r="C14" s="39" t="str">
        <f t="shared" si="2"/>
        <v>Έμμεση</v>
      </c>
      <c r="D14" s="209">
        <f>IF(S14="",IF(ΓΕΝΙΚΑ!$B$20="ΝΑΙ",14684,""),"")</f>
        <v>14684</v>
      </c>
      <c r="E14" s="21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74">
        <v>48.149154157580632</v>
      </c>
      <c r="I14" s="236">
        <f t="shared" si="0"/>
        <v>48.15</v>
      </c>
      <c r="J14" s="174">
        <v>73.282512509086317</v>
      </c>
      <c r="K14" s="236">
        <f t="shared" si="3"/>
        <v>73.28</v>
      </c>
      <c r="L14" s="57">
        <f t="shared" si="4"/>
        <v>121</v>
      </c>
      <c r="M14" s="311">
        <v>27.448611111111099</v>
      </c>
      <c r="N14" s="278">
        <f t="shared" si="5"/>
        <v>27</v>
      </c>
      <c r="O14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4" s="251" t="str">
        <f t="shared" si="6"/>
        <v/>
      </c>
      <c r="Q14" s="252" t="str">
        <f t="shared" si="6"/>
        <v/>
      </c>
      <c r="S14" s="130" t="str">
        <f t="shared" si="7"/>
        <v/>
      </c>
      <c r="T14" s="184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3" t="s">
        <v>575</v>
      </c>
      <c r="V14" s="183" t="s">
        <v>917</v>
      </c>
      <c r="W14" s="183" t="s">
        <v>918</v>
      </c>
      <c r="X14" s="183" t="s">
        <v>919</v>
      </c>
      <c r="Y14" s="183" t="s">
        <v>920</v>
      </c>
      <c r="Z14" s="183" t="s">
        <v>579</v>
      </c>
    </row>
    <row r="15" spans="1:26" ht="90" x14ac:dyDescent="0.25">
      <c r="A15" s="42" t="str">
        <f t="shared" si="1"/>
        <v>B07</v>
      </c>
      <c r="B15" s="39" t="str">
        <f t="shared" si="1"/>
        <v>WIND</v>
      </c>
      <c r="C15" s="39" t="str">
        <f t="shared" si="2"/>
        <v>Έμμεση</v>
      </c>
      <c r="D15" s="222">
        <f>IF(S15="",IF(ΓΕΝΙΚΑ!$B$20="ΝΑΙ",14686,""),"")</f>
        <v>14686</v>
      </c>
      <c r="E15" s="21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74">
        <v>63.282883655111306</v>
      </c>
      <c r="I15" s="236">
        <f t="shared" si="0"/>
        <v>63.28</v>
      </c>
      <c r="J15" s="174">
        <v>91.952671900444429</v>
      </c>
      <c r="K15" s="236">
        <f t="shared" si="3"/>
        <v>91.95</v>
      </c>
      <c r="L15" s="57">
        <f t="shared" si="4"/>
        <v>155</v>
      </c>
      <c r="M15" s="311">
        <v>19.651111111111099</v>
      </c>
      <c r="N15" s="278">
        <f t="shared" si="5"/>
        <v>20</v>
      </c>
      <c r="O15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5" s="251" t="str">
        <f t="shared" si="6"/>
        <v/>
      </c>
      <c r="Q15" s="252" t="str">
        <f t="shared" si="6"/>
        <v/>
      </c>
      <c r="S15" s="130" t="str">
        <f t="shared" si="7"/>
        <v/>
      </c>
      <c r="T15" s="184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3" t="s">
        <v>575</v>
      </c>
      <c r="V15" s="183" t="s">
        <v>917</v>
      </c>
      <c r="W15" s="183" t="s">
        <v>918</v>
      </c>
      <c r="X15" s="183" t="s">
        <v>919</v>
      </c>
      <c r="Y15" s="183" t="s">
        <v>920</v>
      </c>
      <c r="Z15" s="183" t="s">
        <v>579</v>
      </c>
    </row>
    <row r="16" spans="1:26" ht="90.75" thickBot="1" x14ac:dyDescent="0.3">
      <c r="A16" s="42" t="str">
        <f t="shared" si="1"/>
        <v>B07</v>
      </c>
      <c r="B16" s="39" t="str">
        <f t="shared" si="1"/>
        <v>WIND</v>
      </c>
      <c r="C16" s="39" t="str">
        <f t="shared" si="2"/>
        <v>Έμμεση</v>
      </c>
      <c r="D16" s="210">
        <f>IF(S16="",IF(ΓΕΝΙΚΑ!$B$20="ΝΑΙ",14688,""),"")</f>
        <v>14688</v>
      </c>
      <c r="E16" s="21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75">
        <v>57.808164056255364</v>
      </c>
      <c r="I16" s="236">
        <f t="shared" si="0"/>
        <v>57.81</v>
      </c>
      <c r="J16" s="175">
        <v>85.952391499300674</v>
      </c>
      <c r="K16" s="236">
        <f t="shared" si="3"/>
        <v>85.95</v>
      </c>
      <c r="L16" s="291">
        <f t="shared" si="4"/>
        <v>144</v>
      </c>
      <c r="M16" s="312">
        <v>16.990555555555598</v>
      </c>
      <c r="N16" s="278">
        <f t="shared" si="5"/>
        <v>17</v>
      </c>
      <c r="O1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6" s="251" t="str">
        <f t="shared" si="6"/>
        <v/>
      </c>
      <c r="Q16" s="252" t="str">
        <f t="shared" si="6"/>
        <v/>
      </c>
      <c r="S16" s="130" t="str">
        <f t="shared" si="7"/>
        <v/>
      </c>
      <c r="T16" s="184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3" t="s">
        <v>575</v>
      </c>
      <c r="V16" s="183" t="s">
        <v>917</v>
      </c>
      <c r="W16" s="183" t="s">
        <v>918</v>
      </c>
      <c r="X16" s="183" t="s">
        <v>919</v>
      </c>
      <c r="Y16" s="183" t="s">
        <v>920</v>
      </c>
      <c r="Z16" s="183" t="s">
        <v>579</v>
      </c>
    </row>
    <row r="17" spans="1:25" ht="90" x14ac:dyDescent="0.25">
      <c r="A17" s="42" t="str">
        <f t="shared" si="1"/>
        <v>B07</v>
      </c>
      <c r="B17" s="39" t="str">
        <f t="shared" si="1"/>
        <v>WIND</v>
      </c>
      <c r="C17" s="39" t="str">
        <f t="shared" si="2"/>
        <v>Έμμεση</v>
      </c>
      <c r="D17" s="221">
        <f>IF(S17="",IF(ΓΕΝΙΚΑ!$B$20="ΝΑΙ",15300,""),"")</f>
        <v>15300</v>
      </c>
      <c r="E17" s="211" t="str">
        <f>IF(ΓΕΝΙΚΑ!$B$22="ΝΑΙ","ΠΑΝΕΛΛΑΔΙΚΑ","")</f>
        <v>ΠΑΝΕΛΛΑΔΙΚΑ</v>
      </c>
      <c r="F17" s="8" t="s">
        <v>555</v>
      </c>
      <c r="G17" s="5">
        <v>95</v>
      </c>
      <c r="H17" s="173">
        <v>305.82745729116056</v>
      </c>
      <c r="I17" s="236">
        <f t="shared" si="0"/>
        <v>305.83</v>
      </c>
      <c r="J17" s="173">
        <v>245.16059826439658</v>
      </c>
      <c r="K17" s="236">
        <f t="shared" si="3"/>
        <v>245.16</v>
      </c>
      <c r="L17" s="57">
        <f t="shared" si="4"/>
        <v>551</v>
      </c>
      <c r="M17" s="313">
        <v>289.84083333333302</v>
      </c>
      <c r="N17" s="278">
        <f t="shared" si="5"/>
        <v>290</v>
      </c>
      <c r="O1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7" s="251" t="str">
        <f t="shared" si="6"/>
        <v/>
      </c>
      <c r="Q17" s="252" t="str">
        <f t="shared" si="6"/>
        <v/>
      </c>
      <c r="S17" s="130" t="str">
        <f t="shared" si="7"/>
        <v/>
      </c>
      <c r="T17" s="184" t="str">
        <f>IF(L17="",U3,"")</f>
        <v/>
      </c>
      <c r="Y17" s="183"/>
    </row>
    <row r="18" spans="1:25" ht="90" x14ac:dyDescent="0.25">
      <c r="A18" s="42" t="str">
        <f t="shared" si="1"/>
        <v>B07</v>
      </c>
      <c r="B18" s="39" t="str">
        <f t="shared" si="1"/>
        <v>WIND</v>
      </c>
      <c r="C18" s="39" t="str">
        <f t="shared" si="2"/>
        <v>Έμμεση</v>
      </c>
      <c r="D18" s="209">
        <f>IF(S18="",IF(ΓΕΝΙΚΑ!$B$20="ΝΑΙ",14664,""),"")</f>
        <v>14664</v>
      </c>
      <c r="E18" s="21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74">
        <v>255.29003073452392</v>
      </c>
      <c r="I18" s="236">
        <f t="shared" si="0"/>
        <v>255.29</v>
      </c>
      <c r="J18" s="174">
        <v>299.15108037714282</v>
      </c>
      <c r="K18" s="236">
        <f t="shared" si="3"/>
        <v>299.14999999999998</v>
      </c>
      <c r="L18" s="57">
        <f t="shared" si="4"/>
        <v>554</v>
      </c>
      <c r="M18" s="311">
        <v>206.731666666667</v>
      </c>
      <c r="N18" s="278">
        <f t="shared" si="5"/>
        <v>207</v>
      </c>
      <c r="O1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8" s="251" t="str">
        <f t="shared" si="6"/>
        <v/>
      </c>
      <c r="Q18" s="252" t="str">
        <f t="shared" si="6"/>
        <v/>
      </c>
      <c r="S18" s="130" t="str">
        <f t="shared" si="7"/>
        <v/>
      </c>
      <c r="T18" s="184" t="str">
        <f>IF(AND(L18="",ΠΕΡΙΦΕΡΕΙΑ!B2&lt;&gt;"Καθόλου"),U4,IF(AND(ΠΕΡΙΦΕΡΕΙΑ!B2="Καθόλου",OR(H18&lt;&gt;"",J18&lt;&gt;"")),"Η περιφέρεια δεν καλύπτεται",""))</f>
        <v/>
      </c>
      <c r="Y18" s="183"/>
    </row>
    <row r="19" spans="1:25" ht="90" x14ac:dyDescent="0.25">
      <c r="A19" s="42" t="str">
        <f t="shared" si="1"/>
        <v>B07</v>
      </c>
      <c r="B19" s="39" t="str">
        <f t="shared" si="1"/>
        <v>WIND</v>
      </c>
      <c r="C19" s="39" t="str">
        <f t="shared" si="2"/>
        <v>Έμμεση</v>
      </c>
      <c r="D19" s="222">
        <f>IF(S19="",IF(ΓΕΝΙΚΑ!$B$20="ΝΑΙ",14666,""),"")</f>
        <v>14666</v>
      </c>
      <c r="E19" s="213" t="str">
        <f>IF(ΓΕΝΙΚΑ!$B$22="ΝΑΙ","Π. ΑΤΤΙΚΗΣ","")</f>
        <v>Π. ΑΤΤΙΚΗΣ</v>
      </c>
      <c r="F19" s="7" t="s">
        <v>40</v>
      </c>
      <c r="G19" s="7">
        <v>95</v>
      </c>
      <c r="H19" s="174">
        <v>280.70168577162525</v>
      </c>
      <c r="I19" s="236">
        <f t="shared" si="0"/>
        <v>280.7</v>
      </c>
      <c r="J19" s="174">
        <v>228.06136978337375</v>
      </c>
      <c r="K19" s="236">
        <f t="shared" si="3"/>
        <v>228.06</v>
      </c>
      <c r="L19" s="57">
        <f t="shared" si="4"/>
        <v>509</v>
      </c>
      <c r="M19" s="311">
        <v>284.7475</v>
      </c>
      <c r="N19" s="278">
        <f t="shared" si="5"/>
        <v>285</v>
      </c>
      <c r="O1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9" s="251" t="str">
        <f t="shared" si="6"/>
        <v/>
      </c>
      <c r="Q19" s="252" t="str">
        <f t="shared" si="6"/>
        <v/>
      </c>
      <c r="S19" s="130" t="str">
        <f t="shared" si="7"/>
        <v/>
      </c>
      <c r="T19" s="184" t="str">
        <f>IF(AND(L19="",ΠΕΡΙΦΕΡΕΙΑ!B3&lt;&gt;"Καθόλου"),U5,IF(AND(ΠΕΡΙΦΕΡΕΙΑ!B3="Καθόλου",OR(H19&lt;&gt;"",J19&lt;&gt;"")),"Η περιφέρεια δεν καλύπτεται",""))</f>
        <v/>
      </c>
      <c r="Y19" s="183"/>
    </row>
    <row r="20" spans="1:25" ht="90" x14ac:dyDescent="0.25">
      <c r="A20" s="42" t="str">
        <f t="shared" si="1"/>
        <v>B07</v>
      </c>
      <c r="B20" s="39" t="str">
        <f t="shared" si="1"/>
        <v>WIND</v>
      </c>
      <c r="C20" s="39" t="str">
        <f t="shared" si="2"/>
        <v>Έμμεση</v>
      </c>
      <c r="D20" s="209">
        <f>IF(S17="",IF(ΓΕΝΙΚΑ!$B$20="ΝΑΙ",14668,""),"")</f>
        <v>14668</v>
      </c>
      <c r="E20" s="21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74">
        <v>127.43511108178458</v>
      </c>
      <c r="I20" s="236">
        <f t="shared" si="0"/>
        <v>127.44</v>
      </c>
      <c r="J20" s="174">
        <v>121.25544447377163</v>
      </c>
      <c r="K20" s="236">
        <f t="shared" si="3"/>
        <v>121.26</v>
      </c>
      <c r="L20" s="57">
        <f t="shared" si="4"/>
        <v>249</v>
      </c>
      <c r="M20" s="311">
        <v>91.046944444444406</v>
      </c>
      <c r="N20" s="278">
        <f t="shared" si="5"/>
        <v>91</v>
      </c>
      <c r="O20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0" s="251" t="str">
        <f t="shared" si="6"/>
        <v/>
      </c>
      <c r="Q20" s="252" t="str">
        <f t="shared" si="6"/>
        <v/>
      </c>
      <c r="S20" s="130" t="str">
        <f t="shared" si="7"/>
        <v/>
      </c>
      <c r="T20" s="184" t="str">
        <f>IF(AND(L20="",ΠΕΡΙΦΕΡΕΙΑ!B4&lt;&gt;"Καθόλου"),U6,IF(AND(ΠΕΡΙΦΕΡΕΙΑ!B4="Καθόλου",OR(H20&lt;&gt;"",J20&lt;&gt;"")),"Η περιφέρεια δεν καλύπτεται",""))</f>
        <v/>
      </c>
      <c r="Y20" s="183"/>
    </row>
    <row r="21" spans="1:25" ht="90" x14ac:dyDescent="0.25">
      <c r="A21" s="42" t="str">
        <f t="shared" si="1"/>
        <v>B07</v>
      </c>
      <c r="B21" s="39" t="str">
        <f t="shared" si="1"/>
        <v>WIND</v>
      </c>
      <c r="C21" s="39" t="str">
        <f t="shared" si="2"/>
        <v>Έμμεση</v>
      </c>
      <c r="D21" s="222">
        <f>IF(S21="",IF(ΓΕΝΙΚΑ!$B$20="ΝΑΙ",14670,""),"")</f>
        <v>14670</v>
      </c>
      <c r="E21" s="21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74">
        <v>308.57577915852517</v>
      </c>
      <c r="I21" s="236">
        <f t="shared" si="0"/>
        <v>308.58</v>
      </c>
      <c r="J21" s="174">
        <v>239.4056097309184</v>
      </c>
      <c r="K21" s="236">
        <f t="shared" si="3"/>
        <v>239.41</v>
      </c>
      <c r="L21" s="57">
        <f t="shared" si="4"/>
        <v>548</v>
      </c>
      <c r="M21" s="311">
        <v>261.16416666722199</v>
      </c>
      <c r="N21" s="278">
        <f t="shared" si="5"/>
        <v>261</v>
      </c>
      <c r="O21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1" s="251" t="str">
        <f t="shared" si="6"/>
        <v/>
      </c>
      <c r="Q21" s="252" t="str">
        <f t="shared" si="6"/>
        <v/>
      </c>
      <c r="S21" s="130" t="str">
        <f t="shared" si="7"/>
        <v/>
      </c>
      <c r="T21" s="184" t="str">
        <f>IF(AND(L21="",ΠΕΡΙΦΕΡΕΙΑ!B5&lt;&gt;"Καθόλου"),U7,IF(AND(ΠΕΡΙΦΕΡΕΙΑ!B5="Καθόλου",OR(H21&lt;&gt;"",J21&lt;&gt;"")),"Η περιφέρεια δεν καλύπτεται",""))</f>
        <v/>
      </c>
      <c r="Y21" s="183"/>
    </row>
    <row r="22" spans="1:25" ht="90" x14ac:dyDescent="0.25">
      <c r="A22" s="42" t="str">
        <f t="shared" si="1"/>
        <v>B07</v>
      </c>
      <c r="B22" s="39" t="str">
        <f t="shared" si="1"/>
        <v>WIND</v>
      </c>
      <c r="C22" s="39" t="str">
        <f t="shared" si="2"/>
        <v>Έμμεση</v>
      </c>
      <c r="D22" s="209">
        <f>IF(S22="",IF(ΓΕΝΙΚΑ!$B$20="ΝΑΙ",14672,""),"")</f>
        <v>14672</v>
      </c>
      <c r="E22" s="21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74">
        <v>189.11569010011792</v>
      </c>
      <c r="I22" s="236">
        <f t="shared" si="0"/>
        <v>189.12</v>
      </c>
      <c r="J22" s="174">
        <v>169.3887543443262</v>
      </c>
      <c r="K22" s="236">
        <f t="shared" si="3"/>
        <v>169.39</v>
      </c>
      <c r="L22" s="57">
        <f t="shared" si="4"/>
        <v>359</v>
      </c>
      <c r="M22" s="311">
        <v>189.851666666667</v>
      </c>
      <c r="N22" s="278">
        <f t="shared" si="5"/>
        <v>190</v>
      </c>
      <c r="O22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2" s="251" t="str">
        <f t="shared" si="6"/>
        <v/>
      </c>
      <c r="Q22" s="252" t="str">
        <f t="shared" si="6"/>
        <v/>
      </c>
      <c r="S22" s="130" t="str">
        <f t="shared" si="7"/>
        <v/>
      </c>
      <c r="T22" s="184" t="str">
        <f>IF(AND(L22="",ΠΕΡΙΦΕΡΕΙΑ!B6&lt;&gt;"Καθόλου"),U8,IF(AND(ΠΕΡΙΦΕΡΕΙΑ!B6="Καθόλου",OR(H22&lt;&gt;"",J22&lt;&gt;"")),"Η περιφέρεια δεν καλύπτεται",""))</f>
        <v/>
      </c>
      <c r="Y22" s="183"/>
    </row>
    <row r="23" spans="1:25" ht="90" x14ac:dyDescent="0.25">
      <c r="A23" s="42" t="str">
        <f t="shared" si="1"/>
        <v>B07</v>
      </c>
      <c r="B23" s="39" t="str">
        <f t="shared" si="1"/>
        <v>WIND</v>
      </c>
      <c r="C23" s="39" t="str">
        <f t="shared" si="2"/>
        <v>Έμμεση</v>
      </c>
      <c r="D23" s="222">
        <f>IF(S23="",IF(ΓΕΝΙΚΑ!$B$20="ΝΑΙ",14674,""),"")</f>
        <v>14674</v>
      </c>
      <c r="E23" s="213" t="str">
        <f>IF(ΓΕΝΙΚΑ!$B$22="ΝΑΙ","Π. ΗΠΕΙΡΟΥ","")</f>
        <v>Π. ΗΠΕΙΡΟΥ</v>
      </c>
      <c r="F23" s="7" t="s">
        <v>407</v>
      </c>
      <c r="G23" s="7">
        <v>95</v>
      </c>
      <c r="H23" s="174">
        <v>231.20102976243913</v>
      </c>
      <c r="I23" s="236">
        <f t="shared" si="0"/>
        <v>231.2</v>
      </c>
      <c r="J23" s="174">
        <v>249.8739702381165</v>
      </c>
      <c r="K23" s="236">
        <f t="shared" si="3"/>
        <v>249.87</v>
      </c>
      <c r="L23" s="57">
        <f t="shared" si="4"/>
        <v>481</v>
      </c>
      <c r="M23" s="311">
        <v>192.414166666667</v>
      </c>
      <c r="N23" s="278">
        <f t="shared" si="5"/>
        <v>192</v>
      </c>
      <c r="O23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3" s="251" t="str">
        <f t="shared" si="6"/>
        <v/>
      </c>
      <c r="Q23" s="252" t="str">
        <f t="shared" si="6"/>
        <v/>
      </c>
      <c r="S23" s="130" t="str">
        <f t="shared" si="7"/>
        <v/>
      </c>
      <c r="T23" s="184" t="str">
        <f>IF(AND(L23="",ΠΕΡΙΦΕΡΕΙΑ!B7&lt;&gt;"Καθόλου"),U9,IF(AND(ΠΕΡΙΦΕΡΕΙΑ!B7="Καθόλου",OR(H23&lt;&gt;"",J23&lt;&gt;"")),"Η περιφέρεια δεν καλύπτεται",""))</f>
        <v/>
      </c>
      <c r="Y23" s="183"/>
    </row>
    <row r="24" spans="1:25" ht="90" x14ac:dyDescent="0.25">
      <c r="A24" s="42" t="str">
        <f t="shared" si="1"/>
        <v>B07</v>
      </c>
      <c r="B24" s="39" t="str">
        <f t="shared" si="1"/>
        <v>WIND</v>
      </c>
      <c r="C24" s="39" t="str">
        <f t="shared" si="2"/>
        <v>Έμμεση</v>
      </c>
      <c r="D24" s="209">
        <f>IF(S24="",IF(ΓΕΝΙΚΑ!$B$20="ΝΑΙ",14676,""),"")</f>
        <v>14676</v>
      </c>
      <c r="E24" s="212" t="str">
        <f>IF(ΓΕΝΙΚΑ!$B$22="ΝΑΙ","Π. ΘΕΣΣΑΛΙΑΣ","")</f>
        <v>Π. ΘΕΣΣΑΛΙΑΣ</v>
      </c>
      <c r="F24" s="7" t="s">
        <v>408</v>
      </c>
      <c r="G24" s="7">
        <v>95</v>
      </c>
      <c r="H24" s="174">
        <v>357.58755393502486</v>
      </c>
      <c r="I24" s="236">
        <f t="shared" si="0"/>
        <v>357.59</v>
      </c>
      <c r="J24" s="174">
        <v>210.00355717608647</v>
      </c>
      <c r="K24" s="236">
        <f t="shared" si="3"/>
        <v>210</v>
      </c>
      <c r="L24" s="57">
        <f t="shared" si="4"/>
        <v>568</v>
      </c>
      <c r="M24" s="311">
        <v>298.84583333333302</v>
      </c>
      <c r="N24" s="278">
        <f t="shared" si="5"/>
        <v>299</v>
      </c>
      <c r="O24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4" s="251" t="str">
        <f t="shared" si="6"/>
        <v/>
      </c>
      <c r="Q24" s="252" t="str">
        <f t="shared" si="6"/>
        <v/>
      </c>
      <c r="S24" s="130" t="str">
        <f t="shared" si="7"/>
        <v/>
      </c>
      <c r="T24" s="184" t="str">
        <f>IF(AND(L24="",ΠΕΡΙΦΕΡΕΙΑ!B8&lt;&gt;"Καθόλου"),U10,IF(AND(ΠΕΡΙΦΕΡΕΙΑ!B8="Καθόλου",OR(H24&lt;&gt;"",J24&lt;&gt;"")),"Η περιφέρεια δεν καλύπτεται",""))</f>
        <v/>
      </c>
      <c r="Y24" s="183"/>
    </row>
    <row r="25" spans="1:25" ht="90" x14ac:dyDescent="0.25">
      <c r="A25" s="42" t="str">
        <f t="shared" si="1"/>
        <v>B07</v>
      </c>
      <c r="B25" s="39" t="str">
        <f t="shared" si="1"/>
        <v>WIND</v>
      </c>
      <c r="C25" s="39" t="str">
        <f t="shared" si="2"/>
        <v>Έμμεση</v>
      </c>
      <c r="D25" s="222">
        <f>IF(S25="",IF(ΓΕΝΙΚΑ!$B$20="ΝΑΙ",14678,""),"")</f>
        <v>14678</v>
      </c>
      <c r="E25" s="21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74">
        <v>252.2365987979986</v>
      </c>
      <c r="I25" s="236">
        <f t="shared" si="0"/>
        <v>252.24</v>
      </c>
      <c r="J25" s="174">
        <v>226.13117897922373</v>
      </c>
      <c r="K25" s="236">
        <f t="shared" si="3"/>
        <v>226.13</v>
      </c>
      <c r="L25" s="57">
        <f t="shared" si="4"/>
        <v>478</v>
      </c>
      <c r="M25" s="311">
        <v>270.08527777777806</v>
      </c>
      <c r="N25" s="278">
        <f t="shared" si="5"/>
        <v>270</v>
      </c>
      <c r="O25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5" s="251" t="str">
        <f t="shared" si="6"/>
        <v/>
      </c>
      <c r="Q25" s="252" t="str">
        <f t="shared" si="6"/>
        <v/>
      </c>
      <c r="S25" s="130" t="str">
        <f t="shared" si="7"/>
        <v/>
      </c>
      <c r="T25" s="184" t="str">
        <f>IF(AND(L25="",ΠΕΡΙΦΕΡΕΙΑ!B9&lt;&gt;"Καθόλου"),U11,IF(AND(ΠΕΡΙΦΕΡΕΙΑ!B9="Καθόλου",OR(H25&lt;&gt;"",J25&lt;&gt;"")),"Η περιφέρεια δεν καλύπτεται",""))</f>
        <v/>
      </c>
      <c r="Y25" s="183"/>
    </row>
    <row r="26" spans="1:25" ht="90" x14ac:dyDescent="0.25">
      <c r="A26" s="42" t="str">
        <f t="shared" si="1"/>
        <v>B07</v>
      </c>
      <c r="B26" s="39" t="str">
        <f t="shared" si="1"/>
        <v>WIND</v>
      </c>
      <c r="C26" s="39" t="str">
        <f t="shared" si="2"/>
        <v>Έμμεση</v>
      </c>
      <c r="D26" s="209">
        <f>IF(S26="",IF(ΓΕΝΙΚΑ!$B$20="ΝΑΙ",14680,""),"")</f>
        <v>14680</v>
      </c>
      <c r="E26" s="21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74">
        <v>327.77813952740269</v>
      </c>
      <c r="I26" s="236">
        <f t="shared" si="0"/>
        <v>327.78</v>
      </c>
      <c r="J26" s="174">
        <v>226.05741602815309</v>
      </c>
      <c r="K26" s="236">
        <f t="shared" si="3"/>
        <v>226.06</v>
      </c>
      <c r="L26" s="57">
        <f t="shared" si="4"/>
        <v>554</v>
      </c>
      <c r="M26" s="311">
        <v>318.41055555555596</v>
      </c>
      <c r="N26" s="278">
        <f t="shared" si="5"/>
        <v>318</v>
      </c>
      <c r="O26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6" s="251" t="str">
        <f t="shared" si="6"/>
        <v/>
      </c>
      <c r="Q26" s="252" t="str">
        <f t="shared" si="6"/>
        <v/>
      </c>
      <c r="S26" s="130" t="str">
        <f t="shared" si="7"/>
        <v/>
      </c>
      <c r="T26" s="184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3"/>
    </row>
    <row r="27" spans="1:25" ht="90" x14ac:dyDescent="0.25">
      <c r="A27" s="42" t="str">
        <f t="shared" si="1"/>
        <v>B07</v>
      </c>
      <c r="B27" s="39" t="str">
        <f t="shared" si="1"/>
        <v>WIND</v>
      </c>
      <c r="C27" s="39" t="str">
        <f t="shared" si="2"/>
        <v>Έμμεση</v>
      </c>
      <c r="D27" s="222">
        <f>IF(S27="",IF(ΓΕΝΙΚΑ!$B$20="ΝΑΙ",14682,""),"")</f>
        <v>14682</v>
      </c>
      <c r="E27" s="213" t="str">
        <f>IF(ΓΕΝΙΚΑ!$B$22="ΝΑΙ","Π. ΚΡΗΤΗΣ","")</f>
        <v>Π. ΚΡΗΤΗΣ</v>
      </c>
      <c r="F27" s="7" t="s">
        <v>411</v>
      </c>
      <c r="G27" s="7">
        <v>95</v>
      </c>
      <c r="H27" s="174">
        <v>329.65372687772128</v>
      </c>
      <c r="I27" s="236">
        <f t="shared" si="0"/>
        <v>329.65</v>
      </c>
      <c r="J27" s="174">
        <v>269.99766201116785</v>
      </c>
      <c r="K27" s="236">
        <f t="shared" si="3"/>
        <v>270</v>
      </c>
      <c r="L27" s="57">
        <f t="shared" si="4"/>
        <v>600</v>
      </c>
      <c r="M27" s="311">
        <v>241.5727777777779</v>
      </c>
      <c r="N27" s="278">
        <f t="shared" si="5"/>
        <v>242</v>
      </c>
      <c r="O27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7" s="251" t="str">
        <f t="shared" si="6"/>
        <v/>
      </c>
      <c r="Q27" s="252" t="str">
        <f t="shared" si="6"/>
        <v/>
      </c>
      <c r="S27" s="130" t="str">
        <f t="shared" si="7"/>
        <v/>
      </c>
      <c r="T27" s="184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3"/>
    </row>
    <row r="28" spans="1:25" ht="90" x14ac:dyDescent="0.25">
      <c r="A28" s="42" t="str">
        <f t="shared" si="1"/>
        <v>B07</v>
      </c>
      <c r="B28" s="39" t="str">
        <f t="shared" si="1"/>
        <v>WIND</v>
      </c>
      <c r="C28" s="39" t="str">
        <f t="shared" si="2"/>
        <v>Έμμεση</v>
      </c>
      <c r="D28" s="209">
        <f>IF(S28="",IF(ΓΕΝΙΚΑ!$B$20="ΝΑΙ",14684,""),"")</f>
        <v>14684</v>
      </c>
      <c r="E28" s="21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74">
        <v>262.64525702399163</v>
      </c>
      <c r="I28" s="236">
        <f t="shared" si="0"/>
        <v>262.64999999999998</v>
      </c>
      <c r="J28" s="174">
        <v>226.71752075378598</v>
      </c>
      <c r="K28" s="236">
        <f t="shared" si="3"/>
        <v>226.72</v>
      </c>
      <c r="L28" s="57">
        <f t="shared" si="4"/>
        <v>489</v>
      </c>
      <c r="M28" s="311">
        <v>193.566944444444</v>
      </c>
      <c r="N28" s="278">
        <f t="shared" si="5"/>
        <v>194</v>
      </c>
      <c r="O28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8" s="251" t="str">
        <f t="shared" si="6"/>
        <v/>
      </c>
      <c r="Q28" s="252" t="str">
        <f t="shared" si="6"/>
        <v/>
      </c>
      <c r="S28" s="130" t="str">
        <f t="shared" si="7"/>
        <v/>
      </c>
      <c r="T28" s="184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3"/>
    </row>
    <row r="29" spans="1:25" ht="90" x14ac:dyDescent="0.25">
      <c r="A29" s="42" t="str">
        <f t="shared" si="1"/>
        <v>B07</v>
      </c>
      <c r="B29" s="39" t="str">
        <f t="shared" si="1"/>
        <v>WIND</v>
      </c>
      <c r="C29" s="39" t="str">
        <f t="shared" si="2"/>
        <v>Έμμεση</v>
      </c>
      <c r="D29" s="222">
        <f>IF(S29="",IF(ΓΕΝΙΚΑ!$B$20="ΝΑΙ",14686,""),"")</f>
        <v>14686</v>
      </c>
      <c r="E29" s="21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74">
        <v>297.12339176369375</v>
      </c>
      <c r="I29" s="236">
        <f t="shared" si="0"/>
        <v>297.12</v>
      </c>
      <c r="J29" s="174">
        <v>285.85799712630649</v>
      </c>
      <c r="K29" s="236">
        <f t="shared" si="3"/>
        <v>285.86</v>
      </c>
      <c r="L29" s="57">
        <f t="shared" si="4"/>
        <v>583</v>
      </c>
      <c r="M29" s="311">
        <v>187.03583333333299</v>
      </c>
      <c r="N29" s="278">
        <f t="shared" si="5"/>
        <v>187</v>
      </c>
      <c r="O29" s="25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9" s="251" t="str">
        <f t="shared" si="6"/>
        <v/>
      </c>
      <c r="Q29" s="252" t="str">
        <f t="shared" si="6"/>
        <v/>
      </c>
      <c r="S29" s="130" t="str">
        <f t="shared" si="7"/>
        <v/>
      </c>
      <c r="T29" s="184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3"/>
    </row>
    <row r="30" spans="1:25" ht="90.75" thickBot="1" x14ac:dyDescent="0.3">
      <c r="A30" s="43" t="str">
        <f t="shared" si="1"/>
        <v>B07</v>
      </c>
      <c r="B30" s="44" t="str">
        <f t="shared" si="1"/>
        <v>WIND</v>
      </c>
      <c r="C30" s="44" t="str">
        <f t="shared" si="2"/>
        <v>Έμμεση</v>
      </c>
      <c r="D30" s="210">
        <f>IF(S30="",IF(ΓΕΝΙΚΑ!$B$20="ΝΑΙ",14688,""),"")</f>
        <v>14688</v>
      </c>
      <c r="E30" s="21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75">
        <v>257.69642339632929</v>
      </c>
      <c r="I30" s="236">
        <f t="shared" si="0"/>
        <v>257.7</v>
      </c>
      <c r="J30" s="175">
        <v>259.66274327033767</v>
      </c>
      <c r="K30" s="236">
        <f t="shared" si="3"/>
        <v>259.66000000000003</v>
      </c>
      <c r="L30" s="291">
        <f t="shared" si="4"/>
        <v>517</v>
      </c>
      <c r="M30" s="312">
        <v>168.28611111111101</v>
      </c>
      <c r="N30" s="278">
        <f t="shared" si="5"/>
        <v>168</v>
      </c>
      <c r="O30" s="253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30" s="253" t="str">
        <f t="shared" si="6"/>
        <v/>
      </c>
      <c r="Q30" s="254" t="str">
        <f t="shared" si="6"/>
        <v/>
      </c>
      <c r="S30" s="131" t="str">
        <f t="shared" si="7"/>
        <v/>
      </c>
      <c r="T30" s="185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G5" sqref="G5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4" width="23" style="238" hidden="1" customWidth="1"/>
    <col min="5" max="6" width="23" style="160" customWidth="1"/>
    <col min="7" max="7" width="35.85546875" style="160" customWidth="1"/>
    <col min="8" max="9" width="28.28515625" style="160" customWidth="1"/>
    <col min="10" max="10" width="69.42578125" style="160" customWidth="1"/>
    <col min="11" max="11" width="56" style="160" customWidth="1"/>
    <col min="12" max="12" width="35.28515625" style="160" customWidth="1"/>
    <col min="13" max="14" width="28.28515625" style="160" customWidth="1"/>
    <col min="15" max="15" width="37.28515625" style="160" customWidth="1"/>
    <col min="16" max="16" width="63.140625" style="160" customWidth="1"/>
    <col min="17" max="17" width="9.140625" style="160" customWidth="1"/>
    <col min="18" max="18" width="16.140625" style="160" customWidth="1"/>
    <col min="19" max="19" width="72.7109375" style="160" customWidth="1"/>
    <col min="20" max="16384" width="9.140625" style="160" hidden="1"/>
  </cols>
  <sheetData>
    <row r="1" spans="1:25" ht="15.75" hidden="1" thickBot="1" x14ac:dyDescent="0.3">
      <c r="A1" t="s">
        <v>505</v>
      </c>
      <c r="B1" t="s">
        <v>504</v>
      </c>
      <c r="C1" s="216" t="s">
        <v>905</v>
      </c>
      <c r="D1" s="21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7"/>
      <c r="D2" s="21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6" t="s">
        <v>477</v>
      </c>
      <c r="M2" s="176" t="s">
        <v>478</v>
      </c>
      <c r="N2" s="17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40" t="str">
        <f>ΓΕΝΙΚΑ!C4</f>
        <v>WIND</v>
      </c>
      <c r="C3" s="215">
        <f>IF(ΓΕΝΙΚΑ!$B$23="ΝΑΙ",15300,"")</f>
        <v>15300</v>
      </c>
      <c r="D3" s="215" t="str">
        <f>IF(ΓΕΝΙΚΑ!$B$23="ΝΑΙ","ΠΑΝΕΛΛΑΔΙΚΑ","")</f>
        <v>ΠΑΝΕΛΛΑΔΙΚΑ</v>
      </c>
      <c r="E3" s="19" t="s">
        <v>555</v>
      </c>
      <c r="F3" s="153" t="s">
        <v>435</v>
      </c>
      <c r="G3" s="301">
        <v>42856</v>
      </c>
      <c r="H3" s="302" t="s">
        <v>933</v>
      </c>
      <c r="I3" s="302" t="s">
        <v>933</v>
      </c>
      <c r="J3" s="302" t="s">
        <v>933</v>
      </c>
      <c r="K3" s="302" t="s">
        <v>933</v>
      </c>
      <c r="L3" s="302" t="s">
        <v>934</v>
      </c>
      <c r="M3" s="302"/>
      <c r="N3" s="303"/>
      <c r="O3" s="303" t="s">
        <v>935</v>
      </c>
      <c r="P3" s="304" t="s">
        <v>936</v>
      </c>
      <c r="R3" s="130" t="str">
        <f>IF(S3="","","ΣΦΑΛΜΑ")</f>
        <v/>
      </c>
      <c r="S3" s="151" t="str">
        <f>CONCATENATE(IF(F3="","Πρέπει να συμπληρωθεί υποχρεωτικά ο τύπος υπηρεσίας",""),IF(Y3&lt;&gt;0,"Σφάλμα ημερομηνίας",""),)</f>
        <v/>
      </c>
      <c r="T3" s="160" t="str">
        <f>TEXT($G$3,"ΗΗ/ΜΜ/ΕΕΕΕ")</f>
        <v>01/05/2017</v>
      </c>
      <c r="U3" s="160">
        <f>_xlfn.NUMBERVALUE(LEFT(T3,2))</f>
        <v>1</v>
      </c>
      <c r="V3" s="160">
        <f>_xlfn.NUMBERVALUE(MID(T3,4,2))</f>
        <v>5</v>
      </c>
      <c r="W3" s="160">
        <f>_xlfn.NUMBERVALUE(RIGHT(T3,4))</f>
        <v>2017</v>
      </c>
      <c r="X3" s="160">
        <f>IF(LEN((T3)=10),0,1)+IF(AND(U3&gt;0,U3&lt;32),0,1)+IF(AND(V3&gt;0,V3&lt;13),0,1)+IF(AND(W3&gt;2000,W3&lt;2030),0,1)</f>
        <v>0</v>
      </c>
      <c r="Y3" s="160">
        <f>IF(ISERR(X3),1,X3)</f>
        <v>0</v>
      </c>
    </row>
    <row r="4" spans="1:25" ht="75" customHeight="1" x14ac:dyDescent="0.25">
      <c r="A4" s="14" t="str">
        <f>A3</f>
        <v>B08</v>
      </c>
      <c r="B4" s="241" t="str">
        <f>B3</f>
        <v>WIND</v>
      </c>
      <c r="C4" s="215">
        <f>IF(ΓΕΝΙΚΑ!$B$23="ΝΑΙ",15300,"")</f>
        <v>15300</v>
      </c>
      <c r="D4" s="215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42856</v>
      </c>
      <c r="H4" s="285" t="s">
        <v>925</v>
      </c>
      <c r="I4" s="285" t="s">
        <v>925</v>
      </c>
      <c r="J4" s="154"/>
      <c r="K4" s="285" t="s">
        <v>925</v>
      </c>
      <c r="L4" s="285" t="s">
        <v>925</v>
      </c>
      <c r="M4" s="285" t="s">
        <v>925</v>
      </c>
      <c r="N4" s="283" t="s">
        <v>925</v>
      </c>
      <c r="O4" s="281" t="s">
        <v>925</v>
      </c>
      <c r="P4" s="279" t="s">
        <v>925</v>
      </c>
      <c r="R4" s="130" t="str">
        <f t="shared" ref="R4:R7" si="0">IF(S4="","","ΣΦΑΛΜΑ")</f>
        <v/>
      </c>
      <c r="S4" s="152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38" t="str">
        <f>TEXT($G$3,"ΗΗ/ΜΜ/ΕΕΕΕ")</f>
        <v>01/05/2017</v>
      </c>
      <c r="U4" s="160">
        <f t="shared" ref="U4:U7" si="2">_xlfn.NUMBERVALUE(LEFT(T4,2))</f>
        <v>1</v>
      </c>
      <c r="V4" s="160">
        <f t="shared" ref="V4:V7" si="3">_xlfn.NUMBERVALUE(MID(T4,4,2))</f>
        <v>5</v>
      </c>
      <c r="W4" s="160">
        <f t="shared" ref="W4:W7" si="4">_xlfn.NUMBERVALUE(RIGHT(T4,4))</f>
        <v>2017</v>
      </c>
      <c r="X4" s="160">
        <f t="shared" ref="X4:X7" si="5">IF(LEN((T4)=10),0,1)+IF(AND(U4&gt;0,U4&lt;32),0,1)+IF(AND(V4&gt;0,V4&lt;13),0,1)+IF(AND(W4&gt;2000,W4&lt;2030),0,1)</f>
        <v>0</v>
      </c>
      <c r="Y4" s="160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1" t="str">
        <f>B3</f>
        <v>WIND</v>
      </c>
      <c r="C5" s="215">
        <f>IF(ΓΕΝΙΚΑ!$B$23="ΝΑΙ",15300,"")</f>
        <v>15300</v>
      </c>
      <c r="D5" s="215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42856</v>
      </c>
      <c r="H5" s="285" t="s">
        <v>925</v>
      </c>
      <c r="I5" s="285" t="s">
        <v>925</v>
      </c>
      <c r="J5" s="154"/>
      <c r="K5" s="285" t="s">
        <v>925</v>
      </c>
      <c r="L5" s="285" t="s">
        <v>925</v>
      </c>
      <c r="M5" s="285" t="s">
        <v>925</v>
      </c>
      <c r="N5" s="283" t="s">
        <v>925</v>
      </c>
      <c r="O5" s="281" t="s">
        <v>925</v>
      </c>
      <c r="P5" s="279" t="s">
        <v>925</v>
      </c>
      <c r="R5" s="130" t="str">
        <f t="shared" si="0"/>
        <v/>
      </c>
      <c r="S5" s="152" t="str">
        <f t="shared" si="1"/>
        <v/>
      </c>
      <c r="T5" s="238" t="str">
        <f>TEXT($G$3,"ΗΗ/ΜΜ/ΕΕΕΕ")</f>
        <v>01/05/2017</v>
      </c>
      <c r="U5" s="160">
        <f t="shared" si="2"/>
        <v>1</v>
      </c>
      <c r="V5" s="160">
        <f t="shared" si="3"/>
        <v>5</v>
      </c>
      <c r="W5" s="160">
        <f t="shared" si="4"/>
        <v>2017</v>
      </c>
      <c r="X5" s="160">
        <f t="shared" si="5"/>
        <v>0</v>
      </c>
      <c r="Y5" s="160">
        <f t="shared" si="6"/>
        <v>0</v>
      </c>
    </row>
    <row r="6" spans="1:25" ht="75" customHeight="1" x14ac:dyDescent="0.25">
      <c r="A6" s="14" t="str">
        <f>A3</f>
        <v>B08</v>
      </c>
      <c r="B6" s="241" t="str">
        <f>B3</f>
        <v>WIND</v>
      </c>
      <c r="C6" s="215">
        <f>IF(ΓΕΝΙΚΑ!$B$23="ΝΑΙ",15300,"")</f>
        <v>15300</v>
      </c>
      <c r="D6" s="215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42856</v>
      </c>
      <c r="H6" s="285" t="s">
        <v>925</v>
      </c>
      <c r="I6" s="285" t="s">
        <v>925</v>
      </c>
      <c r="J6" s="154"/>
      <c r="K6" s="285" t="s">
        <v>925</v>
      </c>
      <c r="L6" s="285" t="s">
        <v>925</v>
      </c>
      <c r="M6" s="285" t="s">
        <v>925</v>
      </c>
      <c r="N6" s="283" t="s">
        <v>925</v>
      </c>
      <c r="O6" s="281" t="s">
        <v>925</v>
      </c>
      <c r="P6" s="279" t="s">
        <v>925</v>
      </c>
      <c r="R6" s="130" t="str">
        <f t="shared" si="0"/>
        <v/>
      </c>
      <c r="S6" s="152" t="str">
        <f t="shared" si="1"/>
        <v/>
      </c>
      <c r="T6" s="238" t="str">
        <f>TEXT($G$3,"ΗΗ/ΜΜ/ΕΕΕΕ")</f>
        <v>01/05/2017</v>
      </c>
      <c r="U6" s="160">
        <f t="shared" si="2"/>
        <v>1</v>
      </c>
      <c r="V6" s="160">
        <f t="shared" si="3"/>
        <v>5</v>
      </c>
      <c r="W6" s="160">
        <f t="shared" si="4"/>
        <v>2017</v>
      </c>
      <c r="X6" s="160">
        <f t="shared" si="5"/>
        <v>0</v>
      </c>
      <c r="Y6" s="160">
        <f t="shared" si="6"/>
        <v>0</v>
      </c>
    </row>
    <row r="7" spans="1:25" ht="75" customHeight="1" thickBot="1" x14ac:dyDescent="0.3">
      <c r="A7" s="16" t="str">
        <f>A3</f>
        <v>B08</v>
      </c>
      <c r="B7" s="242" t="str">
        <f>B3</f>
        <v>WIND</v>
      </c>
      <c r="C7" s="215">
        <f>IF(ΓΕΝΙΚΑ!$B$23="ΝΑΙ",15300,"")</f>
        <v>15300</v>
      </c>
      <c r="D7" s="215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42856</v>
      </c>
      <c r="H7" s="286" t="s">
        <v>925</v>
      </c>
      <c r="I7" s="286" t="s">
        <v>925</v>
      </c>
      <c r="J7" s="292"/>
      <c r="K7" s="286" t="s">
        <v>925</v>
      </c>
      <c r="L7" s="286" t="s">
        <v>925</v>
      </c>
      <c r="M7" s="286" t="s">
        <v>925</v>
      </c>
      <c r="N7" s="284" t="s">
        <v>925</v>
      </c>
      <c r="O7" s="282" t="s">
        <v>925</v>
      </c>
      <c r="P7" s="280" t="s">
        <v>925</v>
      </c>
      <c r="R7" s="131" t="str">
        <f t="shared" si="0"/>
        <v/>
      </c>
      <c r="S7" s="150" t="str">
        <f t="shared" si="1"/>
        <v/>
      </c>
      <c r="T7" s="238" t="str">
        <f>TEXT($G$3,"ΗΗ/ΜΜ/ΕΕΕΕ")</f>
        <v>01/05/2017</v>
      </c>
      <c r="U7" s="160">
        <f t="shared" si="2"/>
        <v>1</v>
      </c>
      <c r="V7" s="160">
        <f t="shared" si="3"/>
        <v>5</v>
      </c>
      <c r="W7" s="160">
        <f t="shared" si="4"/>
        <v>2017</v>
      </c>
      <c r="X7" s="160">
        <f t="shared" si="5"/>
        <v>0</v>
      </c>
      <c r="Y7" s="160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6" sqref="F6"/>
    </sheetView>
  </sheetViews>
  <sheetFormatPr defaultColWidth="9.140625" defaultRowHeight="15" x14ac:dyDescent="0.25"/>
  <cols>
    <col min="1" max="1" width="39.7109375" style="160" customWidth="1"/>
    <col min="2" max="2" width="20" style="160" customWidth="1"/>
    <col min="3" max="5" width="37.140625" style="160" hidden="1" customWidth="1"/>
    <col min="6" max="6" width="37.140625" style="160" customWidth="1"/>
    <col min="7" max="9" width="9.140625" style="160"/>
    <col min="10" max="14" width="37.140625" style="160" customWidth="1"/>
    <col min="15" max="16384" width="9.140625" style="160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5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5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5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5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5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5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5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5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5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5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5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5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5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0" t="str">
        <f>CONCATENATE(C2,C3,C4,C5,C6,C7,C8,C9,C10,C11,C12,C13,C14)</f>
        <v/>
      </c>
      <c r="D15" s="160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0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D297" sqref="D297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0" bestFit="1" customWidth="1"/>
    <col min="11" max="11" width="34.140625" style="160" customWidth="1"/>
    <col min="12" max="12" width="16.7109375" style="160" customWidth="1"/>
    <col min="13" max="13" width="36" style="81" hidden="1" customWidth="1"/>
    <col min="14" max="14" width="32.85546875" style="81" hidden="1" customWidth="1"/>
    <col min="15" max="16384" width="9.140625" style="160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1" t="s">
        <v>581</v>
      </c>
      <c r="F2" s="191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56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1" t="s">
        <v>582</v>
      </c>
      <c r="F3" s="191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56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1" t="s">
        <v>583</v>
      </c>
      <c r="F4" s="191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56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1" t="s">
        <v>584</v>
      </c>
      <c r="F5" s="191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56" t="s">
        <v>420</v>
      </c>
      <c r="M5" t="str">
        <f t="shared" si="0"/>
        <v/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1" t="s">
        <v>585</v>
      </c>
      <c r="F6" s="191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56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1" t="s">
        <v>586</v>
      </c>
      <c r="F7" s="191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56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1" t="s">
        <v>587</v>
      </c>
      <c r="F8" s="191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56" t="s">
        <v>420</v>
      </c>
      <c r="M8" t="str">
        <f t="shared" si="0"/>
        <v/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1" t="s">
        <v>588</v>
      </c>
      <c r="F9" s="191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56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1" t="s">
        <v>589</v>
      </c>
      <c r="F10" s="191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56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1" t="s">
        <v>590</v>
      </c>
      <c r="F11" s="191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56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1" t="s">
        <v>591</v>
      </c>
      <c r="F12" s="191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56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1" t="s">
        <v>592</v>
      </c>
      <c r="F13" s="191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56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1" t="s">
        <v>593</v>
      </c>
      <c r="F14" s="191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56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1" t="s">
        <v>594</v>
      </c>
      <c r="F15" s="191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56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1" t="s">
        <v>595</v>
      </c>
      <c r="F16" s="191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56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1" t="s">
        <v>596</v>
      </c>
      <c r="F17" s="191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56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1" t="s">
        <v>597</v>
      </c>
      <c r="F18" s="191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56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1" t="s">
        <v>598</v>
      </c>
      <c r="F19" s="191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56" t="s">
        <v>420</v>
      </c>
      <c r="M19" t="str">
        <f t="shared" si="0"/>
        <v/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1" t="s">
        <v>599</v>
      </c>
      <c r="F20" s="191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56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1" t="s">
        <v>600</v>
      </c>
      <c r="F21" s="191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56" t="s">
        <v>419</v>
      </c>
      <c r="M21" t="str">
        <f t="shared" si="0"/>
        <v xml:space="preserve">ΑΝΑΤΟΛΙΚΗΣ ΜΑΚΕΔΟΝΙΑΣ ΚΑΙ ΘΡΑΚΗΣ - ΣΑΜΟΘΡΑΚΗΣ, </v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1" t="s">
        <v>601</v>
      </c>
      <c r="F22" s="191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56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1" t="s">
        <v>602</v>
      </c>
      <c r="F23" s="191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56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1" t="s">
        <v>603</v>
      </c>
      <c r="F24" s="191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56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1" t="s">
        <v>604</v>
      </c>
      <c r="F25" s="191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56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1" t="s">
        <v>605</v>
      </c>
      <c r="F26" s="191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56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1" t="s">
        <v>606</v>
      </c>
      <c r="F27" s="191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56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1" t="s">
        <v>607</v>
      </c>
      <c r="F28" s="191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56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1" t="s">
        <v>608</v>
      </c>
      <c r="F29" s="191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56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1" t="s">
        <v>609</v>
      </c>
      <c r="F30" s="191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56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1" t="s">
        <v>610</v>
      </c>
      <c r="F31" s="191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56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1" t="s">
        <v>611</v>
      </c>
      <c r="F32" s="191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56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1" t="s">
        <v>612</v>
      </c>
      <c r="F33" s="191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56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1" t="s">
        <v>613</v>
      </c>
      <c r="F34" s="191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56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1" t="s">
        <v>614</v>
      </c>
      <c r="F35" s="191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56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1" t="s">
        <v>615</v>
      </c>
      <c r="F36" s="191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56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1" t="s">
        <v>616</v>
      </c>
      <c r="F37" s="191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56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1" t="s">
        <v>617</v>
      </c>
      <c r="F38" s="191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56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1" t="s">
        <v>618</v>
      </c>
      <c r="F39" s="191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56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1" t="s">
        <v>619</v>
      </c>
      <c r="F40" s="191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56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1" t="s">
        <v>620</v>
      </c>
      <c r="F41" s="191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56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1" t="s">
        <v>621</v>
      </c>
      <c r="F42" s="191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56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1" t="s">
        <v>622</v>
      </c>
      <c r="F43" s="191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56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1" t="s">
        <v>623</v>
      </c>
      <c r="F44" s="191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56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1" t="s">
        <v>624</v>
      </c>
      <c r="F45" s="191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56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1" t="s">
        <v>625</v>
      </c>
      <c r="F46" s="191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56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1"/>
      <c r="F47" s="191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56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1" t="s">
        <v>626</v>
      </c>
      <c r="F48" s="191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56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1" t="s">
        <v>627</v>
      </c>
      <c r="F49" s="191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56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1" t="s">
        <v>628</v>
      </c>
      <c r="F50" s="191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56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1" t="s">
        <v>629</v>
      </c>
      <c r="F51" s="191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56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1" t="s">
        <v>630</v>
      </c>
      <c r="F52" s="191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56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1" t="s">
        <v>631</v>
      </c>
      <c r="F53" s="191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56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1" t="s">
        <v>632</v>
      </c>
      <c r="F54" s="191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56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1" t="s">
        <v>633</v>
      </c>
      <c r="F55" s="191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56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1" t="s">
        <v>634</v>
      </c>
      <c r="F56" s="191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56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1" t="s">
        <v>635</v>
      </c>
      <c r="F57" s="191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56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1" t="s">
        <v>636</v>
      </c>
      <c r="F58" s="191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56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1" t="s">
        <v>637</v>
      </c>
      <c r="F59" s="191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56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1" t="s">
        <v>638</v>
      </c>
      <c r="F60" s="191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56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1" t="s">
        <v>639</v>
      </c>
      <c r="F61" s="191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56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1" t="s">
        <v>640</v>
      </c>
      <c r="F62" s="191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56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1" t="s">
        <v>641</v>
      </c>
      <c r="F63" s="191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56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1" t="s">
        <v>642</v>
      </c>
      <c r="F64" s="191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56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1" t="s">
        <v>643</v>
      </c>
      <c r="F65" s="191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56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1" t="s">
        <v>644</v>
      </c>
      <c r="F66" s="191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56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1" t="s">
        <v>645</v>
      </c>
      <c r="F67" s="191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56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1" t="s">
        <v>646</v>
      </c>
      <c r="F68" s="191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56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1" t="s">
        <v>647</v>
      </c>
      <c r="F69" s="191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56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1" t="s">
        <v>648</v>
      </c>
      <c r="F70" s="191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56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1" t="s">
        <v>649</v>
      </c>
      <c r="F71" s="19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56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1" t="s">
        <v>650</v>
      </c>
      <c r="F72" s="191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56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1" t="s">
        <v>651</v>
      </c>
      <c r="F73" s="191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56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1" t="s">
        <v>652</v>
      </c>
      <c r="F74" s="191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56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1" t="s">
        <v>653</v>
      </c>
      <c r="F75" s="191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56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1" t="s">
        <v>654</v>
      </c>
      <c r="F76" s="191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56" t="s">
        <v>419</v>
      </c>
      <c r="M76" t="str">
        <f t="shared" si="6"/>
        <v xml:space="preserve">ΑΤΤΙΚΗΣ - ΠΟΡΟΥ, </v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1" t="s">
        <v>655</v>
      </c>
      <c r="F77" s="191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56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1" t="s">
        <v>656</v>
      </c>
      <c r="F78" s="191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56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1" t="s">
        <v>657</v>
      </c>
      <c r="F79" s="191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56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1" t="s">
        <v>658</v>
      </c>
      <c r="F80" s="191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56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1" t="s">
        <v>659</v>
      </c>
      <c r="F81" s="19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56" t="s">
        <v>419</v>
      </c>
      <c r="M81" t="str">
        <f t="shared" si="6"/>
        <v xml:space="preserve">ΑΤΤΙΚΗΣ - ΣΠΕΤΣΩΝ, </v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1" t="s">
        <v>660</v>
      </c>
      <c r="F82" s="191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56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1" t="s">
        <v>661</v>
      </c>
      <c r="F83" s="191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56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1" t="s">
        <v>662</v>
      </c>
      <c r="F84" s="191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56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1" t="s">
        <v>663</v>
      </c>
      <c r="F85" s="191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56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1" t="s">
        <v>664</v>
      </c>
      <c r="F86" s="191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56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1" t="s">
        <v>665</v>
      </c>
      <c r="F87" s="191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56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1" t="s">
        <v>666</v>
      </c>
      <c r="F88" s="191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56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1" t="s">
        <v>667</v>
      </c>
      <c r="F89" s="191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56" t="s">
        <v>419</v>
      </c>
      <c r="M89" t="str">
        <f t="shared" si="6"/>
        <v xml:space="preserve">ΑΤΤΙΚΗΣ - ΩΡΩΠΟΥ, </v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1" t="s">
        <v>668</v>
      </c>
      <c r="F90" s="191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56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1" t="s">
        <v>669</v>
      </c>
      <c r="F91" s="1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56" t="s">
        <v>420</v>
      </c>
      <c r="M91" t="str">
        <f t="shared" si="6"/>
        <v/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1" t="s">
        <v>670</v>
      </c>
      <c r="F92" s="191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56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1" t="s">
        <v>671</v>
      </c>
      <c r="F93" s="191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56" t="s">
        <v>420</v>
      </c>
      <c r="M93" t="str">
        <f t="shared" si="6"/>
        <v/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1" t="s">
        <v>672</v>
      </c>
      <c r="F94" s="191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56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1" t="s">
        <v>673</v>
      </c>
      <c r="F95" s="191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56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1" t="s">
        <v>674</v>
      </c>
      <c r="F96" s="191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56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1" t="s">
        <v>675</v>
      </c>
      <c r="F97" s="191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56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1" t="s">
        <v>676</v>
      </c>
      <c r="F98" s="191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56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1" t="s">
        <v>677</v>
      </c>
      <c r="F99" s="191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56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1" t="s">
        <v>678</v>
      </c>
      <c r="F100" s="191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56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1" t="s">
        <v>679</v>
      </c>
      <c r="F101" s="19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56" t="s">
        <v>419</v>
      </c>
      <c r="M101" t="str">
        <f t="shared" si="6"/>
        <v xml:space="preserve">ΔΥΤΙΚΗΣ ΕΛΛΑΔΑΣ - ΑΚΤΙΟΥ – ΒΟΝΙΤΣΑΣ, </v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1" t="s">
        <v>680</v>
      </c>
      <c r="F102" s="191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56" t="s">
        <v>419</v>
      </c>
      <c r="M102" t="str">
        <f t="shared" si="6"/>
        <v xml:space="preserve">ΔΥΤΙΚΗΣ ΕΛΛΑΔΑΣ - ΑΜΦΙΛΟΧΙΑΣ, </v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1" t="s">
        <v>681</v>
      </c>
      <c r="F103" s="191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56" t="s">
        <v>419</v>
      </c>
      <c r="M103" t="str">
        <f t="shared" si="6"/>
        <v xml:space="preserve">ΔΥΤΙΚΗΣ ΕΛΛΑΔΑΣ - ΑΝΔΡΑΒΙΔΑΣ – ΚΥΛΛΗΝΗΣ, </v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1" t="s">
        <v>682</v>
      </c>
      <c r="F104" s="191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56" t="s">
        <v>419</v>
      </c>
      <c r="M104" t="str">
        <f t="shared" si="6"/>
        <v xml:space="preserve">ΔΥΤΙΚΗΣ ΕΛΛΑΔΑΣ - ΑΝΔΡΙΤΣΑΙΝΑΣ – ΚΡΕΣΤΕΝΩΝ, </v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1" t="s">
        <v>683</v>
      </c>
      <c r="F105" s="191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56" t="s">
        <v>419</v>
      </c>
      <c r="M105" t="str">
        <f t="shared" si="6"/>
        <v xml:space="preserve">ΔΥΤΙΚΗΣ ΕΛΛΑΔΑΣ - ΑΡΧΑΙΑΣ ΟΛΥΜΠΙΑΣ, </v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1" t="s">
        <v>684</v>
      </c>
      <c r="F106" s="191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56" t="s">
        <v>419</v>
      </c>
      <c r="M106" t="str">
        <f t="shared" si="6"/>
        <v xml:space="preserve">ΔΥΤΙΚΗΣ ΕΛΛΑΔΑΣ - ΔΥΤΙΚΗΣ ΑΧΑΪΑΣ, </v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1" t="s">
        <v>685</v>
      </c>
      <c r="F107" s="191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56" t="s">
        <v>419</v>
      </c>
      <c r="M107" t="str">
        <f t="shared" si="6"/>
        <v xml:space="preserve">ΔΥΤΙΚΗΣ ΕΛΛΑΔΑΣ - ΕΡΥΜΑΝΘΟΥ, </v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1" t="s">
        <v>686</v>
      </c>
      <c r="F108" s="191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56" t="s">
        <v>419</v>
      </c>
      <c r="M108" t="str">
        <f t="shared" si="6"/>
        <v xml:space="preserve">ΔΥΤΙΚΗΣ ΕΛΛΑΔΑΣ - ΖΑΧΑΡΩΣ, </v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1" t="s">
        <v>687</v>
      </c>
      <c r="F109" s="191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56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1" t="s">
        <v>688</v>
      </c>
      <c r="F110" s="191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56" t="s">
        <v>419</v>
      </c>
      <c r="M110" t="str">
        <f t="shared" si="6"/>
        <v xml:space="preserve">ΔΥΤΙΚΗΣ ΕΛΛΑΔΑΣ - ΘΕΡΜΟΥ, </v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1" t="s">
        <v>689</v>
      </c>
      <c r="F111" s="19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56" t="s">
        <v>419</v>
      </c>
      <c r="M111" t="str">
        <f t="shared" si="6"/>
        <v xml:space="preserve">ΔΥΤΙΚΗΣ ΕΛΛΑΔΑΣ - ΙΕΡΑΣ ΠΟΛΗΣ ΜΕΣΟΛΟΓΓΙΟΥ, </v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1" t="s">
        <v>690</v>
      </c>
      <c r="F112" s="191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56" t="s">
        <v>419</v>
      </c>
      <c r="M112" t="str">
        <f t="shared" si="6"/>
        <v xml:space="preserve">ΔΥΤΙΚΗΣ ΕΛΛΑΔΑΣ - ΚΑΛΑΒΡΥΤΩΝ, </v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1" t="s">
        <v>691</v>
      </c>
      <c r="F113" s="191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56" t="s">
        <v>419</v>
      </c>
      <c r="M113" t="str">
        <f t="shared" si="6"/>
        <v xml:space="preserve">ΔΥΤΙΚΗΣ ΕΛΛΑΔΑΣ - ΝΑΥΠΑΚΤΙΑΣ, </v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1" t="s">
        <v>692</v>
      </c>
      <c r="F114" s="191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56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1" t="s">
        <v>693</v>
      </c>
      <c r="F115" s="191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56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1" t="s">
        <v>694</v>
      </c>
      <c r="F116" s="191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56" t="s">
        <v>419</v>
      </c>
      <c r="M116" t="str">
        <f t="shared" si="6"/>
        <v xml:space="preserve">ΔΥΤΙΚΗΣ ΕΛΛΑΔΑΣ - ΠΗΝΕΙΟΥ, </v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1" t="s">
        <v>695</v>
      </c>
      <c r="F117" s="191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56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1" t="s">
        <v>696</v>
      </c>
      <c r="F118" s="191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56" t="s">
        <v>419</v>
      </c>
      <c r="M118" t="str">
        <f t="shared" si="6"/>
        <v xml:space="preserve">ΔΥΤΙΚΗΣ ΜΑΚΕΔΟΝΙΑΣ - ΑΜΥΝΤΑΙΟΥ, </v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1" t="s">
        <v>697</v>
      </c>
      <c r="F119" s="191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56" t="s">
        <v>419</v>
      </c>
      <c r="M119" t="str">
        <f t="shared" si="6"/>
        <v xml:space="preserve">ΔΥΤΙΚΗΣ ΜΑΚΕΔΟΝΙΑΣ - ΒΟΪΟΥ, </v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1" t="s">
        <v>698</v>
      </c>
      <c r="F120" s="191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56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1" t="s">
        <v>699</v>
      </c>
      <c r="F121" s="19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56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1" t="s">
        <v>700</v>
      </c>
      <c r="F122" s="191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56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1" t="s">
        <v>701</v>
      </c>
      <c r="F123" s="191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56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1" t="s">
        <v>702</v>
      </c>
      <c r="F124" s="191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56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1" t="s">
        <v>703</v>
      </c>
      <c r="F125" s="191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56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1" t="s">
        <v>704</v>
      </c>
      <c r="F126" s="191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56" t="s">
        <v>419</v>
      </c>
      <c r="M126" t="str">
        <f t="shared" si="6"/>
        <v xml:space="preserve">ΔΥΤΙΚΗΣ ΜΑΚΕΔΟΝΙΑΣ - ΟΡΕΣΤΙΔΟΣ, </v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1" t="s">
        <v>705</v>
      </c>
      <c r="F127" s="191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56" t="s">
        <v>419</v>
      </c>
      <c r="M127" t="str">
        <f t="shared" si="6"/>
        <v xml:space="preserve">ΔΥΤΙΚΗΣ ΜΑΚΕΔΟΝΙΑΣ - ΠΡΕΣΠΩΝ, </v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1" t="s">
        <v>706</v>
      </c>
      <c r="F128" s="191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56" t="s">
        <v>419</v>
      </c>
      <c r="M128" t="str">
        <f t="shared" si="6"/>
        <v xml:space="preserve">ΔΥΤΙΚΗΣ ΜΑΚΕΔΟΝΙΑΣ - ΣΕΡΒΙΩΝ – ΒΕΛΒΕΝΤΟΥ, </v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1" t="s">
        <v>707</v>
      </c>
      <c r="F129" s="191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56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1" t="s">
        <v>708</v>
      </c>
      <c r="F130" s="191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56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1" t="s">
        <v>709</v>
      </c>
      <c r="F131" s="191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56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1" t="s">
        <v>710</v>
      </c>
      <c r="F132" s="191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56" t="s">
        <v>419</v>
      </c>
      <c r="M132" t="str">
        <f t="shared" si="12"/>
        <v xml:space="preserve">ΗΠΕΙΡΟΥ - ΓΕΩΡΓΙΟΥ ΚΑΡΑΪΣΚΑΚΗ, </v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1" t="s">
        <v>711</v>
      </c>
      <c r="F133" s="191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56" t="s">
        <v>419</v>
      </c>
      <c r="M133" t="str">
        <f t="shared" si="12"/>
        <v xml:space="preserve">ΗΠΕΙΡΟΥ - ΔΩΔΩΝΗΣ, </v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1" t="s">
        <v>712</v>
      </c>
      <c r="F134" s="191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56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1" t="s">
        <v>713</v>
      </c>
      <c r="F135" s="191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56" t="s">
        <v>419</v>
      </c>
      <c r="M135" t="str">
        <f t="shared" si="12"/>
        <v xml:space="preserve">ΗΠΕΙΡΟΥ - ΖΗΡΟΥ, </v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1" t="s">
        <v>714</v>
      </c>
      <c r="F136" s="191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56" t="s">
        <v>419</v>
      </c>
      <c r="M136" t="str">
        <f t="shared" si="12"/>
        <v xml:space="preserve">ΗΠΕΙΡΟΥ - ΖΙΤΣΑΣ, </v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1" t="s">
        <v>715</v>
      </c>
      <c r="F137" s="191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56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1" t="s">
        <v>716</v>
      </c>
      <c r="F138" s="191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56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1" t="s">
        <v>717</v>
      </c>
      <c r="F139" s="191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56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1" t="s">
        <v>718</v>
      </c>
      <c r="F140" s="191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56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1" t="s">
        <v>719</v>
      </c>
      <c r="F141" s="191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56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1" t="s">
        <v>720</v>
      </c>
      <c r="F142" s="191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56" t="s">
        <v>419</v>
      </c>
      <c r="M142" t="str">
        <f t="shared" si="12"/>
        <v xml:space="preserve">ΗΠΕΙΡΟΥ - ΝΙΚΟΛΑΟΥ ΣΚΟΥΦΑ, </v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1" t="s">
        <v>721</v>
      </c>
      <c r="F143" s="191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56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1" t="s">
        <v>722</v>
      </c>
      <c r="F144" s="191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56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1" t="s">
        <v>723</v>
      </c>
      <c r="F145" s="191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56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1" t="s">
        <v>724</v>
      </c>
      <c r="F146" s="191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56" t="s">
        <v>419</v>
      </c>
      <c r="M146" t="str">
        <f t="shared" si="12"/>
        <v xml:space="preserve">ΗΠΕΙΡΟΥ - ΣΟΥΛΙΟΥ, </v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1" t="s">
        <v>725</v>
      </c>
      <c r="F147" s="191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56" t="s">
        <v>419</v>
      </c>
      <c r="M147" t="str">
        <f t="shared" si="12"/>
        <v xml:space="preserve">ΗΠΕΙΡΟΥ - ΦΙΛΙΑΤΩΝ, </v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1" t="s">
        <v>726</v>
      </c>
      <c r="F148" s="191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56" t="s">
        <v>419</v>
      </c>
      <c r="M148" t="str">
        <f t="shared" si="12"/>
        <v xml:space="preserve">ΘΕΣΣΑΛΙΑΣ - ΑΓΙΑΣ, </v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1" t="s">
        <v>727</v>
      </c>
      <c r="F149" s="191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56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1" t="s">
        <v>728</v>
      </c>
      <c r="F150" s="191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56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1" t="s">
        <v>729</v>
      </c>
      <c r="F151" s="191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56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1" t="s">
        <v>730</v>
      </c>
      <c r="F152" s="191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56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1" t="s">
        <v>731</v>
      </c>
      <c r="F153" s="191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56" t="s">
        <v>419</v>
      </c>
      <c r="M153" t="str">
        <f t="shared" si="12"/>
        <v xml:space="preserve">ΘΕΣΣΑΛΙΑΣ - ΕΛΑΣΣΟΝΑΣ, </v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1" t="s">
        <v>732</v>
      </c>
      <c r="F154" s="191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56" t="s">
        <v>419</v>
      </c>
      <c r="M154" t="str">
        <f t="shared" si="12"/>
        <v xml:space="preserve">ΘΕΣΣΑΛΙΑΣ - ΖΑΓΟΡΑΣ – ΜΟΥΡΕΣΙΟΥ, </v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1" t="s">
        <v>733</v>
      </c>
      <c r="F155" s="191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56" t="s">
        <v>419</v>
      </c>
      <c r="M155" t="str">
        <f t="shared" si="12"/>
        <v xml:space="preserve">ΘΕΣΣΑΛΙΑΣ - ΚΑΛΑΜΠΑΚΑΣ, </v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1" t="s">
        <v>734</v>
      </c>
      <c r="F156" s="191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56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1" t="s">
        <v>735</v>
      </c>
      <c r="F157" s="191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56" t="s">
        <v>419</v>
      </c>
      <c r="M157" t="str">
        <f t="shared" si="12"/>
        <v xml:space="preserve">ΘΕΣΣΑΛΙΑΣ - ΚΙΛΕΛΕΡ, </v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1" t="s">
        <v>736</v>
      </c>
      <c r="F158" s="191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56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1" t="s">
        <v>737</v>
      </c>
      <c r="F159" s="191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56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1" t="s">
        <v>738</v>
      </c>
      <c r="F160" s="191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56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1" t="s">
        <v>739</v>
      </c>
      <c r="F161" s="191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56" t="s">
        <v>419</v>
      </c>
      <c r="M161" t="str">
        <f t="shared" si="12"/>
        <v xml:space="preserve">ΘΕΣΣΑΛΙΑΣ - ΝΟΤΙΟΥ ΠΗΛΙΟΥ, </v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1" t="s">
        <v>740</v>
      </c>
      <c r="F162" s="191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56" t="s">
        <v>419</v>
      </c>
      <c r="M162" t="str">
        <f t="shared" si="12"/>
        <v xml:space="preserve">ΘΕΣΣΑΛΙΑΣ - ΠΑΛΑΜΑ, </v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1" t="s">
        <v>741</v>
      </c>
      <c r="F163" s="191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56" t="s">
        <v>419</v>
      </c>
      <c r="M163" t="str">
        <f t="shared" si="12"/>
        <v xml:space="preserve">ΘΕΣΣΑΛΙΑΣ - ΠΥΛΗΣ, </v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1" t="s">
        <v>742</v>
      </c>
      <c r="F164" s="191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56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1" t="s">
        <v>743</v>
      </c>
      <c r="F165" s="191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56" t="s">
        <v>419</v>
      </c>
      <c r="M165" t="str">
        <f t="shared" si="12"/>
        <v xml:space="preserve">ΘΕΣΣΑΛΙΑΣ - ΣΚΙΑΘΟΥ, </v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1" t="s">
        <v>744</v>
      </c>
      <c r="F166" s="191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56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1" t="s">
        <v>745</v>
      </c>
      <c r="F167" s="191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56" t="s">
        <v>419</v>
      </c>
      <c r="M167" t="str">
        <f t="shared" si="12"/>
        <v xml:space="preserve">ΘΕΣΣΑΛΙΑΣ - ΣΟΦΑΔΩΝ, </v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1" t="s">
        <v>746</v>
      </c>
      <c r="F168" s="191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56" t="s">
        <v>419</v>
      </c>
      <c r="M168" t="str">
        <f t="shared" si="12"/>
        <v xml:space="preserve">ΘΕΣΣΑΛΙΑΣ - ΤΕΜΠΩΝ, </v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1" t="s">
        <v>747</v>
      </c>
      <c r="F169" s="191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56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1" t="s">
        <v>748</v>
      </c>
      <c r="F170" s="191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56" t="s">
        <v>419</v>
      </c>
      <c r="M170" t="str">
        <f t="shared" si="12"/>
        <v xml:space="preserve">ΘΕΣΣΑΛΙΑΣ - ΤΥΡΝΑΒΟΥ, </v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1" t="s">
        <v>749</v>
      </c>
      <c r="F171" s="191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56" t="s">
        <v>419</v>
      </c>
      <c r="M171" t="str">
        <f t="shared" si="12"/>
        <v xml:space="preserve">ΘΕΣΣΑΛΙΑΣ - ΦΑΡΚΑΔΟΝΑΣ, </v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1" t="s">
        <v>750</v>
      </c>
      <c r="F172" s="191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56" t="s">
        <v>419</v>
      </c>
      <c r="M172" t="str">
        <f t="shared" si="12"/>
        <v xml:space="preserve">ΘΕΣΣΑΛΙΑΣ - ΦΑΡΣΑΛΩΝ, </v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1" t="s">
        <v>751</v>
      </c>
      <c r="F173" s="191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56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1" t="s">
        <v>752</v>
      </c>
      <c r="F174" s="191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56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1" t="s">
        <v>753</v>
      </c>
      <c r="F175" s="191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56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1" t="s">
        <v>754</v>
      </c>
      <c r="F176" s="191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56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1" t="s">
        <v>755</v>
      </c>
      <c r="F177" s="191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56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1" t="s">
        <v>756</v>
      </c>
      <c r="F178" s="191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56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1" t="s">
        <v>757</v>
      </c>
      <c r="F179" s="191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56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1" t="s">
        <v>758</v>
      </c>
      <c r="F180" s="191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56" t="s">
        <v>419</v>
      </c>
      <c r="M180" t="str">
        <f t="shared" si="12"/>
        <v xml:space="preserve">ΚΕΝΤΡΙΚΗΣ ΜΑΚΕΔΟΝΙΑΣ - ΑΛΕΞΑΝΔΡΕΙΑΣ, </v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1" t="s">
        <v>759</v>
      </c>
      <c r="F181" s="191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56" t="s">
        <v>419</v>
      </c>
      <c r="M181" t="str">
        <f t="shared" si="12"/>
        <v xml:space="preserve">ΚΕΝΤΡΙΚΗΣ ΜΑΚΕΔΟΝΙΑΣ - ΑΛΜΩΠΙΑΣ, </v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1" t="s">
        <v>760</v>
      </c>
      <c r="F182" s="191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56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1" t="s">
        <v>761</v>
      </c>
      <c r="F183" s="191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56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1" t="s">
        <v>762</v>
      </c>
      <c r="F184" s="191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56" t="s">
        <v>420</v>
      </c>
      <c r="M184" t="str">
        <f t="shared" si="12"/>
        <v/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1" t="s">
        <v>763</v>
      </c>
      <c r="F185" s="191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56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1" t="s">
        <v>764</v>
      </c>
      <c r="F186" s="191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56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1" t="s">
        <v>765</v>
      </c>
      <c r="F187" s="191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56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1" t="s">
        <v>766</v>
      </c>
      <c r="F188" s="191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56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1" t="s">
        <v>767</v>
      </c>
      <c r="F189" s="191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56" t="s">
        <v>419</v>
      </c>
      <c r="M189" t="str">
        <f t="shared" si="12"/>
        <v xml:space="preserve">ΚΕΝΤΡΙΚΗΣ ΜΑΚΕΔΟΝΙΑΣ - ΔΙΟΥ – ΟΛΥΜΠΟΥ, </v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1" t="s">
        <v>768</v>
      </c>
      <c r="F190" s="191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56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1" t="s">
        <v>769</v>
      </c>
      <c r="F191" s="191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56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1" t="s">
        <v>770</v>
      </c>
      <c r="F192" s="191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56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1" t="s">
        <v>771</v>
      </c>
      <c r="F193" s="191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56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1" t="s">
        <v>772</v>
      </c>
      <c r="F194" s="191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56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1" t="s">
        <v>773</v>
      </c>
      <c r="F195" s="191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56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1" t="s">
        <v>774</v>
      </c>
      <c r="F196" s="191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56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1" t="s">
        <v>775</v>
      </c>
      <c r="F197" s="191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56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1" t="s">
        <v>776</v>
      </c>
      <c r="F198" s="191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56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1" t="s">
        <v>777</v>
      </c>
      <c r="F199" s="191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56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1" t="s">
        <v>778</v>
      </c>
      <c r="F200" s="191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56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1" t="s">
        <v>779</v>
      </c>
      <c r="F201" s="191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56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1" t="s">
        <v>780</v>
      </c>
      <c r="F202" s="191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56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1" t="s">
        <v>781</v>
      </c>
      <c r="F203" s="191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56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1" t="s">
        <v>782</v>
      </c>
      <c r="F204" s="191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56" t="s">
        <v>420</v>
      </c>
      <c r="M204" t="str">
        <f t="shared" si="18"/>
        <v/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1" t="s">
        <v>783</v>
      </c>
      <c r="F205" s="191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56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1" t="s">
        <v>784</v>
      </c>
      <c r="F206" s="191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56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1" t="s">
        <v>785</v>
      </c>
      <c r="F207" s="191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56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1" t="s">
        <v>786</v>
      </c>
      <c r="F208" s="191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56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1" t="s">
        <v>787</v>
      </c>
      <c r="F209" s="191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56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1" t="s">
        <v>788</v>
      </c>
      <c r="F210" s="191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56" t="s">
        <v>419</v>
      </c>
      <c r="M210" t="str">
        <f t="shared" si="18"/>
        <v xml:space="preserve">ΚΕΝΤΡΙΚΗΣ ΜΑΚΕΔΟΝΙΑΣ - ΠΥΔΝΑΣ – ΚΟΛΙΝΔΡΟΥ, </v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1" t="s">
        <v>789</v>
      </c>
      <c r="F211" s="191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56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1" t="s">
        <v>790</v>
      </c>
      <c r="F212" s="191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56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1" t="s">
        <v>791</v>
      </c>
      <c r="F213" s="191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56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1" t="s">
        <v>792</v>
      </c>
      <c r="F214" s="191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56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1" t="s">
        <v>793</v>
      </c>
      <c r="F215" s="191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56" t="s">
        <v>419</v>
      </c>
      <c r="M215" t="str">
        <f t="shared" si="18"/>
        <v xml:space="preserve">ΚΕΝΤΡΙΚΗΣ ΜΑΚΕΔΟΝΙΑΣ - ΣΚΥΔΡΑΣ, </v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1" t="s">
        <v>794</v>
      </c>
      <c r="F216" s="191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56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1" t="s">
        <v>795</v>
      </c>
      <c r="F217" s="191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56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1" t="s">
        <v>796</v>
      </c>
      <c r="F218" s="191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56" t="s">
        <v>419</v>
      </c>
      <c r="M218" t="str">
        <f t="shared" si="18"/>
        <v xml:space="preserve">ΚΡΗΤΗΣ - ΑΓΙΟΥ ΒΑΣΙΛΕΙΟΥ, </v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1" t="s">
        <v>797</v>
      </c>
      <c r="F219" s="191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56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1" t="s">
        <v>798</v>
      </c>
      <c r="F220" s="191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56" t="s">
        <v>419</v>
      </c>
      <c r="M220" t="str">
        <f t="shared" si="18"/>
        <v xml:space="preserve">ΚΡΗΤΗΣ - ΑΜΑΡΙΟΥ, </v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1" t="s">
        <v>799</v>
      </c>
      <c r="F221" s="191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56" t="s">
        <v>419</v>
      </c>
      <c r="M221" t="str">
        <f t="shared" si="18"/>
        <v xml:space="preserve">ΚΡΗΤΗΣ - ΑΝΩΓΕΙΩΝ, </v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1" t="s">
        <v>800</v>
      </c>
      <c r="F222" s="191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56" t="s">
        <v>419</v>
      </c>
      <c r="M222" t="str">
        <f t="shared" si="18"/>
        <v xml:space="preserve">ΚΡΗΤΗΣ - ΑΠΟΚΟΡΩΝΟΥ, </v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1" t="s">
        <v>801</v>
      </c>
      <c r="F223" s="191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56" t="s">
        <v>419</v>
      </c>
      <c r="M223" t="str">
        <f t="shared" si="18"/>
        <v xml:space="preserve">ΚΡΗΤΗΣ - ΑΡΧΑΝΩΝ – ΑΣΤΕΡΟΥΣΙΩΝ, </v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1" t="s">
        <v>802</v>
      </c>
      <c r="F224" s="191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56" t="s">
        <v>419</v>
      </c>
      <c r="M224" t="str">
        <f t="shared" si="18"/>
        <v xml:space="preserve">ΚΡΗΤΗΣ - ΒΙΑΝΝΟΥ, </v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1" t="s">
        <v>803</v>
      </c>
      <c r="F225" s="191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56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1" t="s">
        <v>804</v>
      </c>
      <c r="F226" s="191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56" t="s">
        <v>419</v>
      </c>
      <c r="M226" t="str">
        <f t="shared" si="18"/>
        <v xml:space="preserve">ΚΡΗΤΗΣ - ΓΟΡΤΥΝΑΣ, </v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1" t="s">
        <v>805</v>
      </c>
      <c r="F227" s="191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56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1" t="s">
        <v>806</v>
      </c>
      <c r="F228" s="191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56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1" t="s">
        <v>807</v>
      </c>
      <c r="F229" s="191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56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1" t="s">
        <v>808</v>
      </c>
      <c r="F230" s="191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56" t="s">
        <v>419</v>
      </c>
      <c r="M230" t="str">
        <f t="shared" si="18"/>
        <v xml:space="preserve">ΚΡΗΤΗΣ - ΚΙΣΣΑΜΟΥ, </v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1" t="s">
        <v>809</v>
      </c>
      <c r="F231" s="191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56" t="s">
        <v>419</v>
      </c>
      <c r="M231" t="str">
        <f t="shared" si="18"/>
        <v xml:space="preserve">ΚΡΗΤΗΣ - ΜΑΛΕΒΙΖΙΟΥ, </v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1" t="s">
        <v>810</v>
      </c>
      <c r="F232" s="191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56" t="s">
        <v>419</v>
      </c>
      <c r="M232" t="str">
        <f t="shared" si="18"/>
        <v xml:space="preserve">ΚΡΗΤΗΣ - ΜΙΝΩΑ ΠΕΔΙΑΔΑΣ, </v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1" t="s">
        <v>811</v>
      </c>
      <c r="F233" s="191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56" t="s">
        <v>419</v>
      </c>
      <c r="M233" t="str">
        <f t="shared" si="18"/>
        <v xml:space="preserve">ΚΡΗΤΗΣ - ΜΥΛΟΠΟΤΑΜΟΥ, </v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1" t="s">
        <v>812</v>
      </c>
      <c r="F234" s="191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56" t="s">
        <v>419</v>
      </c>
      <c r="M234" t="str">
        <f t="shared" si="18"/>
        <v xml:space="preserve">ΚΡΗΤΗΣ - ΟΡΟΠΕΔΙΟΥ ΛΑΣΙΘΙΟΥ, </v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1" t="s">
        <v>813</v>
      </c>
      <c r="F235" s="191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56" t="s">
        <v>419</v>
      </c>
      <c r="M235" t="str">
        <f t="shared" si="18"/>
        <v xml:space="preserve">ΚΡΗΤΗΣ - ΠΛΑΤΑΝΙΑ, </v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1" t="s">
        <v>814</v>
      </c>
      <c r="F236" s="191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56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1" t="s">
        <v>815</v>
      </c>
      <c r="F237" s="191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56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1" t="s">
        <v>816</v>
      </c>
      <c r="F238" s="191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56" t="s">
        <v>419</v>
      </c>
      <c r="M238" t="str">
        <f t="shared" si="18"/>
        <v xml:space="preserve">ΚΡΗΤΗΣ - ΣΦΑΚΙΩΝ, </v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1" t="s">
        <v>817</v>
      </c>
      <c r="F239" s="191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56" t="s">
        <v>419</v>
      </c>
      <c r="M239" t="str">
        <f t="shared" si="18"/>
        <v xml:space="preserve">ΚΡΗΤΗΣ - ΦΑΙΣΤΟΥ, </v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1" t="s">
        <v>818</v>
      </c>
      <c r="F240" s="191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56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1" t="s">
        <v>819</v>
      </c>
      <c r="F241" s="191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56" t="s">
        <v>419</v>
      </c>
      <c r="M241" t="str">
        <f t="shared" si="18"/>
        <v xml:space="preserve">ΚΡΗΤΗΣ - ΧΕΡΣΟΝΗΣΟΥ, </v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1" t="s">
        <v>820</v>
      </c>
      <c r="F242" s="191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56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1" t="s">
        <v>821</v>
      </c>
      <c r="F243" s="191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56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1" t="s">
        <v>822</v>
      </c>
      <c r="F244" s="191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56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1" t="s">
        <v>823</v>
      </c>
      <c r="F245" s="191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56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1" t="s">
        <v>824</v>
      </c>
      <c r="F246" s="191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56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1" t="s">
        <v>825</v>
      </c>
      <c r="F247" s="191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56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1" t="s">
        <v>826</v>
      </c>
      <c r="F248" s="191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56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1" t="s">
        <v>827</v>
      </c>
      <c r="F249" s="191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56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1" t="s">
        <v>828</v>
      </c>
      <c r="F250" s="191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56" t="s">
        <v>420</v>
      </c>
      <c r="M250" t="str">
        <f t="shared" si="18"/>
        <v/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1" t="s">
        <v>829</v>
      </c>
      <c r="F251" s="191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56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1" t="s">
        <v>830</v>
      </c>
      <c r="F252" s="191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56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1" t="s">
        <v>831</v>
      </c>
      <c r="F253" s="191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56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1" t="s">
        <v>832</v>
      </c>
      <c r="F254" s="191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56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1" t="s">
        <v>833</v>
      </c>
      <c r="F255" s="191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56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1" t="s">
        <v>834</v>
      </c>
      <c r="F256" s="191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56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1" t="s">
        <v>835</v>
      </c>
      <c r="F257" s="191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56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1" t="s">
        <v>836</v>
      </c>
      <c r="F258" s="191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5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1" t="s">
        <v>837</v>
      </c>
      <c r="F259" s="191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56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1" t="s">
        <v>838</v>
      </c>
      <c r="F260" s="191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56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1" t="s">
        <v>839</v>
      </c>
      <c r="F261" s="191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56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1" t="s">
        <v>840</v>
      </c>
      <c r="F262" s="191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56" t="s">
        <v>419</v>
      </c>
      <c r="M262" t="str">
        <f t="shared" si="24"/>
        <v xml:space="preserve">ΝΟΤΙΟΥ ΑΙΓΑΙΟΥ - ΝΑΞΟΥ ΚΑΙ ΜΙΚΡΩΝ ΚΥΚΛΑΔΩΝ, </v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1" t="s">
        <v>841</v>
      </c>
      <c r="F263" s="191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56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1" t="s">
        <v>842</v>
      </c>
      <c r="F264" s="191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56" t="s">
        <v>419</v>
      </c>
      <c r="M264" t="str">
        <f t="shared" si="24"/>
        <v xml:space="preserve">ΝΟΤΙΟΥ ΑΙΓΑΙΟΥ - ΠΑΡΟΥ, </v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1" t="s">
        <v>843</v>
      </c>
      <c r="F265" s="191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56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1" t="s">
        <v>844</v>
      </c>
      <c r="F266" s="191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56" t="s">
        <v>420</v>
      </c>
      <c r="M266" t="str">
        <f t="shared" si="24"/>
        <v/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1" t="s">
        <v>845</v>
      </c>
      <c r="F267" s="191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56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1" t="s">
        <v>846</v>
      </c>
      <c r="F268" s="191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56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1" t="s">
        <v>847</v>
      </c>
      <c r="F269" s="191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56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1" t="s">
        <v>848</v>
      </c>
      <c r="F270" s="191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56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1" t="s">
        <v>849</v>
      </c>
      <c r="F271" s="191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56" t="s">
        <v>419</v>
      </c>
      <c r="M271" t="str">
        <f t="shared" si="24"/>
        <v xml:space="preserve">ΝΟΤΙΟΥ ΑΙΓΑΙΟΥ - ΣΥΡΟΥ – ΕΡΜΟΥΠΟΛΗΣ, </v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1" t="s">
        <v>850</v>
      </c>
      <c r="F272" s="191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56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1" t="s">
        <v>851</v>
      </c>
      <c r="F273" s="191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56" t="s">
        <v>419</v>
      </c>
      <c r="M273" t="str">
        <f t="shared" si="24"/>
        <v xml:space="preserve">ΝΟΤΙΟΥ ΑΙΓΑΙΟΥ - ΤΗΝΟΥ, </v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1" t="s">
        <v>852</v>
      </c>
      <c r="F274" s="191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56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1" t="s">
        <v>853</v>
      </c>
      <c r="F275" s="191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56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1" t="s">
        <v>854</v>
      </c>
      <c r="F276" s="191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56" t="s">
        <v>419</v>
      </c>
      <c r="M276" t="str">
        <f t="shared" si="24"/>
        <v xml:space="preserve">ΠΕΛΟΠΟΝΝΗΣΟΥ - ΑΝΑΤΟΛΙΚΗΣ ΜΑΝΗΣ, </v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1" t="s">
        <v>855</v>
      </c>
      <c r="F277" s="191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56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1" t="s">
        <v>856</v>
      </c>
      <c r="F278" s="191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56" t="s">
        <v>419</v>
      </c>
      <c r="M278" t="str">
        <f t="shared" si="24"/>
        <v xml:space="preserve">ΠΕΛΟΠΟΝΝΗΣΟΥ - ΒΕΛΟΥ – ΒΟΧΑΣ, </v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1" t="s">
        <v>857</v>
      </c>
      <c r="F279" s="191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56" t="s">
        <v>419</v>
      </c>
      <c r="M279" t="str">
        <f t="shared" si="24"/>
        <v xml:space="preserve">ΠΕΛΟΠΟΝΝΗΣΟΥ - ΒΟΡΕΙΑΣ ΚΥΝΟΥΡΙΑΣ, </v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1" t="s">
        <v>858</v>
      </c>
      <c r="F280" s="191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56" t="s">
        <v>419</v>
      </c>
      <c r="M280" t="str">
        <f t="shared" si="24"/>
        <v xml:space="preserve">ΠΕΛΟΠΟΝΝΗΣΟΥ - ΓΟΡΤΥΝΙΑΣ, </v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1" t="s">
        <v>859</v>
      </c>
      <c r="F281" s="191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56" t="s">
        <v>419</v>
      </c>
      <c r="M281" t="str">
        <f t="shared" si="24"/>
        <v xml:space="preserve">ΠΕΛΟΠΟΝΝΗΣΟΥ - ΔΥΤΙΚΗΣ ΜΑΝΗΣ, </v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1" t="s">
        <v>860</v>
      </c>
      <c r="F282" s="191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56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1" t="s">
        <v>861</v>
      </c>
      <c r="F283" s="191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56" t="s">
        <v>419</v>
      </c>
      <c r="M283" t="str">
        <f t="shared" si="24"/>
        <v xml:space="preserve">ΠΕΛΟΠΟΝΝΗΣΟΥ - ΕΠΙΔΑΥΡΟΥ, </v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1" t="s">
        <v>862</v>
      </c>
      <c r="F284" s="191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56" t="s">
        <v>419</v>
      </c>
      <c r="M284" t="str">
        <f t="shared" si="24"/>
        <v xml:space="preserve">ΠΕΛΟΠΟΝΝΗΣΟΥ - ΕΡΜΙΟΝΙΔΑΣ, </v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1" t="s">
        <v>863</v>
      </c>
      <c r="F285" s="191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56" t="s">
        <v>419</v>
      </c>
      <c r="M285" t="str">
        <f t="shared" si="24"/>
        <v xml:space="preserve">ΠΕΛΟΠΟΝΝΗΣΟΥ - ΕΥΡΩΤΑ, </v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1" t="s">
        <v>864</v>
      </c>
      <c r="F286" s="191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56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1" t="s">
        <v>865</v>
      </c>
      <c r="F287" s="191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56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1" t="s">
        <v>866</v>
      </c>
      <c r="F288" s="191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56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1" t="s">
        <v>867</v>
      </c>
      <c r="F289" s="191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56" t="s">
        <v>419</v>
      </c>
      <c r="M289" t="str">
        <f t="shared" si="24"/>
        <v xml:space="preserve">ΠΕΛΟΠΟΝΝΗΣΟΥ - ΜΕΓΑΛΟΠΟΛΗΣ, </v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1" t="s">
        <v>868</v>
      </c>
      <c r="F290" s="191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56" t="s">
        <v>419</v>
      </c>
      <c r="M290" t="str">
        <f t="shared" si="24"/>
        <v xml:space="preserve">ΠΕΛΟΠΟΝΝΗΣΟΥ - ΜΕΣΣΗΝΗΣ, </v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1" t="s">
        <v>869</v>
      </c>
      <c r="F291" s="191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56" t="s">
        <v>419</v>
      </c>
      <c r="M291" t="str">
        <f t="shared" si="24"/>
        <v xml:space="preserve">ΠΕΛΟΠΟΝΝΗΣΟΥ - ΜΟΝΕΜΒΑΣΙΑΣ, </v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1" t="s">
        <v>870</v>
      </c>
      <c r="F292" s="191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56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1" t="s">
        <v>871</v>
      </c>
      <c r="F293" s="191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56" t="s">
        <v>419</v>
      </c>
      <c r="M293" t="str">
        <f t="shared" si="24"/>
        <v xml:space="preserve">ΠΕΛΟΠΟΝΝΗΣΟΥ - ΝΕΜΕΑΣ, </v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1" t="s">
        <v>872</v>
      </c>
      <c r="F294" s="191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56" t="s">
        <v>419</v>
      </c>
      <c r="M294" t="str">
        <f t="shared" si="24"/>
        <v xml:space="preserve">ΠΕΛΟΠΟΝΝΗΣΟΥ - ΝΟΤΙΑΣ ΚΥΝΟΥΡΙΑΣ, </v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1" t="s">
        <v>873</v>
      </c>
      <c r="F295" s="191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56" t="s">
        <v>419</v>
      </c>
      <c r="M295" t="str">
        <f t="shared" si="24"/>
        <v xml:space="preserve">ΠΕΛΟΠΟΝΝΗΣΟΥ - ΞΥΛΟΚΑΣΤΡΟΥ – ΕΥΡΩΣΤΙΝΗΣ, </v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1" t="s">
        <v>874</v>
      </c>
      <c r="F296" s="191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56" t="s">
        <v>419</v>
      </c>
      <c r="M296" t="str">
        <f t="shared" si="24"/>
        <v xml:space="preserve">ΠΕΛΟΠΟΝΝΗΣΟΥ - ΟΙΧΑΛΙΑΣ, </v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1" t="s">
        <v>875</v>
      </c>
      <c r="F297" s="191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56" t="s">
        <v>419</v>
      </c>
      <c r="M297" t="str">
        <f t="shared" si="24"/>
        <v xml:space="preserve">ΠΕΛΟΠΟΝΝΗΣΟΥ - ΠΥΛΟΥ – ΝΕΣΤΟΡΟΣ, </v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1" t="s">
        <v>876</v>
      </c>
      <c r="F298" s="191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56" t="s">
        <v>419</v>
      </c>
      <c r="M298" t="str">
        <f t="shared" si="24"/>
        <v xml:space="preserve">ΠΕΛΟΠΟΝΝΗΣΟΥ - ΣΙΚΥΩΝΙΩΝ, </v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1" t="s">
        <v>877</v>
      </c>
      <c r="F299" s="191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56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1" t="s">
        <v>878</v>
      </c>
      <c r="F300" s="191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56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1" t="s">
        <v>879</v>
      </c>
      <c r="F301" s="191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56" t="s">
        <v>419</v>
      </c>
      <c r="M301" t="str">
        <f t="shared" si="24"/>
        <v xml:space="preserve">ΠΕΛΟΠΟΝΝΗΣΟΥ - ΤΡΙΦΥΛΙΑΣ, </v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1" t="s">
        <v>880</v>
      </c>
      <c r="F302" s="191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56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1" t="s">
        <v>881</v>
      </c>
      <c r="F303" s="191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56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1" t="s">
        <v>882</v>
      </c>
      <c r="F304" s="191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56" t="s">
        <v>419</v>
      </c>
      <c r="M304" t="str">
        <f t="shared" si="24"/>
        <v xml:space="preserve">ΣΤΕΡΕΑΣ ΕΛΛΑΔΑΣ - ΑΜΦΙΚΛΕΙΑΣ – ΕΛΑΤΕΙΑΣ, </v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1" t="s">
        <v>883</v>
      </c>
      <c r="F305" s="191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56" t="s">
        <v>419</v>
      </c>
      <c r="M305" t="str">
        <f t="shared" si="24"/>
        <v xml:space="preserve">ΣΤΕΡΕΑΣ ΕΛΛΑΔΑΣ - ΔΕΛΦΩΝ, </v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1" t="s">
        <v>884</v>
      </c>
      <c r="F306" s="191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56" t="s">
        <v>419</v>
      </c>
      <c r="M306" t="str">
        <f t="shared" si="24"/>
        <v xml:space="preserve">ΣΤΕΡΕΑΣ ΕΛΛΑΔΑΣ - ΔΙΡΦΥΩΝ – ΜΕΣΣΑΠΙΩΝ, </v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1" t="s">
        <v>885</v>
      </c>
      <c r="F307" s="191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56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1" t="s">
        <v>886</v>
      </c>
      <c r="F308" s="191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56" t="s">
        <v>419</v>
      </c>
      <c r="M308" t="str">
        <f t="shared" si="24"/>
        <v xml:space="preserve">ΣΤΕΡΕΑΣ ΕΛΛΑΔΑΣ - ΔΟΜΟΚΟΥ, </v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1" t="s">
        <v>887</v>
      </c>
      <c r="F309" s="191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56" t="s">
        <v>419</v>
      </c>
      <c r="M309" t="str">
        <f t="shared" si="24"/>
        <v xml:space="preserve">ΣΤΕΡΕΑΣ ΕΛΛΑΔΑΣ - ΔΩΡΙΔΟΣ, </v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1" t="s">
        <v>888</v>
      </c>
      <c r="F310" s="191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56" t="s">
        <v>419</v>
      </c>
      <c r="M310" t="str">
        <f t="shared" si="24"/>
        <v xml:space="preserve">ΣΤΕΡΕΑΣ ΕΛΛΑΔΑΣ - ΕΡΕΤΡΙΑΣ, </v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1" t="s">
        <v>889</v>
      </c>
      <c r="F311" s="191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56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1" t="s">
        <v>890</v>
      </c>
      <c r="F312" s="191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56" t="s">
        <v>419</v>
      </c>
      <c r="M312" t="str">
        <f t="shared" si="24"/>
        <v xml:space="preserve">ΣΤΕΡΕΑΣ ΕΛΛΑΔΑΣ - ΙΣΤΙΑΙΑΣ – ΑΙΔΗΨΟΥ, </v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1" t="s">
        <v>891</v>
      </c>
      <c r="F313" s="191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56" t="s">
        <v>419</v>
      </c>
      <c r="M313" t="str">
        <f t="shared" si="24"/>
        <v xml:space="preserve">ΣΤΕΡΕΑΣ ΕΛΛΑΔΑΣ - ΚΑΡΠΕΝΗΣΙΟΥ, </v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1" t="s">
        <v>892</v>
      </c>
      <c r="F314" s="191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56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1" t="s">
        <v>893</v>
      </c>
      <c r="F315" s="191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56" t="s">
        <v>419</v>
      </c>
      <c r="M315" t="str">
        <f t="shared" si="24"/>
        <v xml:space="preserve">ΣΤΕΡΕΑΣ ΕΛΛΑΔΑΣ - ΚΥΜΗΣ – ΑΛΙΒΕΡΙΟΥ, </v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1" t="s">
        <v>894</v>
      </c>
      <c r="F316" s="191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56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1" t="s">
        <v>895</v>
      </c>
      <c r="F317" s="191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56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1" t="s">
        <v>896</v>
      </c>
      <c r="F318" s="191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56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1" t="s">
        <v>897</v>
      </c>
      <c r="F319" s="191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56" t="s">
        <v>419</v>
      </c>
      <c r="M319" t="str">
        <f t="shared" si="24"/>
        <v xml:space="preserve">ΣΤΕΡΕΑΣ ΕΛΛΑΔΑΣ - ΜΑΚΡΑΚΩΜΗΣ, </v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1" t="s">
        <v>898</v>
      </c>
      <c r="F320" s="191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56" t="s">
        <v>419</v>
      </c>
      <c r="M320" t="str">
        <f t="shared" si="24"/>
        <v xml:space="preserve">ΣΤΕΡΕΑΣ ΕΛΛΑΔΑΣ - ΜΑΝΤΟΥΔΙΟΥ – ΛΙΜΝΗΣ – ΑΓΙΑΣ ΑΝΝΑΣ, </v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1" t="s">
        <v>899</v>
      </c>
      <c r="F321" s="191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56" t="s">
        <v>419</v>
      </c>
      <c r="M321" t="str">
        <f t="shared" si="24"/>
        <v xml:space="preserve">ΣΤΕΡΕΑΣ ΕΛΛΑΔΑΣ - ΜΩΛΟΥ – ΑΓΙΟΥ ΚΩΝΣΤΑΝΤΙΝΟΥ, </v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1" t="s">
        <v>900</v>
      </c>
      <c r="F322" s="191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56" t="s">
        <v>419</v>
      </c>
      <c r="M322" t="str">
        <f t="shared" ref="M322:M326" si="30">IF(K322&lt;&gt;"",IF(L322="ΝΑΙ",J322&amp;" - "&amp;K322&amp;", ",""),"")</f>
        <v xml:space="preserve">ΣΤΕΡΕΑΣ ΕΛΛΑΔΑΣ - ΟΡΧΟΜΕΝΟΥ, </v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1" t="s">
        <v>901</v>
      </c>
      <c r="F323" s="191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56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1" t="s">
        <v>902</v>
      </c>
      <c r="F324" s="191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56" t="s">
        <v>419</v>
      </c>
      <c r="M324" t="str">
        <f t="shared" si="30"/>
        <v xml:space="preserve">ΣΤΕΡΕΑΣ ΕΛΛΑΔΑΣ - ΣΤΥΛΙΔΟΣ, </v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1" t="s">
        <v>903</v>
      </c>
      <c r="F325" s="191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56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1" t="s">
        <v>904</v>
      </c>
      <c r="F326" s="191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56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ΓΕΩΡΓΙΟΥ ΚΑΡΑΪΣΚΑΚΗ, ΗΠΕΙΡΟΥ - ΔΩΔΩΝΗΣ, ΗΠΕΙΡΟΥ - ΖΗΡΟΥ, ΗΠΕΙΡΟΥ - ΖΙΤΣΑΣ, ΗΠΕΙΡΟΥ - ΗΓΟΥΜΕΝΙΤΣΑΣ, ΗΠΕΙΡΟΥ - ΙΩΑΝΝΙΤΩΝ,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ΝΟΤΙΟΥ ΠΗΛΙΟΥ, ΘΕΣΣΑΛΙΑΣ - ΠΑΛΑΜΑ, ΘΕΣΣΑΛΙΑΣ - ΠΥΛΗΣ,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ΚΩ, ΝΟΤΙΟΥ ΑΙΓΑΙΟΥ - ΜΥΚΟΝΟΥ, ΝΟΤΙΟΥ ΑΙΓΑΙΟΥ - ΝΑΞΟΥ ΚΑΙ ΜΙΚΡΩΝ ΚΥΚΛΑΔΩΝ, ΝΟΤΙΟΥ ΑΙΓΑΙΟΥ - ΠΑΡΟΥ,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ΑΜΦΙΚΛΕΙΑΣ – ΕΛΑΤΕΙΑΣ, ΣΤΕΡΕΑΣ ΕΛΛΑΔΑΣ - ΔΕΛΦΩΝ, ΣΤΕΡΕΑΣ ΕΛΛΑΔΑΣ - ΔΙΡΦΥΩΝ – ΜΕΣΣΑΠΙΩΝ,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ΚΥΜΗΣ – ΑΛΙΒΕΡΙΟΥ, ΣΤΕΡΕΑΣ ΕΛΛΑΔΑΣ - ΛΑΜΙΕΩΝ, ΣΤΕΡΕΑΣ ΕΛΛΑΔΑΣ - ΛΕΒΑΔΕΩΝ,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3" customWidth="1"/>
    <col min="2" max="4" width="37.140625" customWidth="1"/>
    <col min="5" max="5" width="65.42578125" customWidth="1"/>
    <col min="6" max="6" width="30" style="191" customWidth="1"/>
    <col min="7" max="7" width="6" style="191" bestFit="1" customWidth="1"/>
    <col min="8" max="8" width="16.140625" customWidth="1"/>
    <col min="9" max="9" width="24" customWidth="1"/>
    <col min="10" max="10" width="26.7109375" customWidth="1"/>
    <col min="11" max="11" width="9.140625" style="193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2"/>
      <c r="L1" s="26" t="s">
        <v>415</v>
      </c>
      <c r="M1" s="26" t="s">
        <v>498</v>
      </c>
      <c r="N1" s="26"/>
      <c r="O1" s="26"/>
    </row>
    <row r="2" spans="1:15" x14ac:dyDescent="0.25">
      <c r="A2" s="19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1" t="s">
        <v>581</v>
      </c>
      <c r="G2" s="191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3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1">
        <f t="shared" ref="N2:N66" si="4">IF(ISNUMBER(K2),LOOKUP(K2,A:A,G:G),"")</f>
        <v>13920</v>
      </c>
      <c r="O2" s="191" t="str">
        <f>IF(ISNUMBER(K2),LOOKUP(K2,A:A,F:F),"")</f>
        <v>Αβδήρων</v>
      </c>
    </row>
    <row r="3" spans="1:15" x14ac:dyDescent="0.25">
      <c r="A3" s="19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1" t="s">
        <v>582</v>
      </c>
      <c r="G3" s="191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3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1">
        <f t="shared" si="4"/>
        <v>13906</v>
      </c>
      <c r="O3" s="191" t="str">
        <f t="shared" ref="O3:O66" si="6">IF(ISNUMBER(K3),LOOKUP(K3,A:A,F:F),"")</f>
        <v>Αλεξανδρούπολης</v>
      </c>
    </row>
    <row r="4" spans="1:15" x14ac:dyDescent="0.25">
      <c r="A4" s="19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1" t="s">
        <v>583</v>
      </c>
      <c r="G4" s="191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3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1">
        <f t="shared" si="4"/>
        <v>13910</v>
      </c>
      <c r="O4" s="191" t="str">
        <f t="shared" si="6"/>
        <v>Αρριανών</v>
      </c>
    </row>
    <row r="5" spans="1:15" x14ac:dyDescent="0.25">
      <c r="A5" s="19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1" t="s">
        <v>584</v>
      </c>
      <c r="G5" s="191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Μερική</v>
      </c>
      <c r="J5" t="str">
        <f t="shared" si="5"/>
        <v/>
      </c>
      <c r="K5" s="193">
        <f t="shared" si="1"/>
        <v>5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ΔΟΞΑΤΟΥ</v>
      </c>
      <c r="N5" s="191">
        <f t="shared" si="4"/>
        <v>14068</v>
      </c>
      <c r="O5" s="191" t="str">
        <f t="shared" si="6"/>
        <v>Δοξάτου</v>
      </c>
    </row>
    <row r="6" spans="1:15" x14ac:dyDescent="0.25">
      <c r="A6" s="19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1" t="s">
        <v>585</v>
      </c>
      <c r="G6" s="191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3">
        <f t="shared" si="1"/>
        <v>6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ΔΡΑΜΑΣ</v>
      </c>
      <c r="N6" s="191">
        <f t="shared" si="4"/>
        <v>14070</v>
      </c>
      <c r="O6" s="191" t="str">
        <f t="shared" si="6"/>
        <v>Δράμας</v>
      </c>
    </row>
    <row r="7" spans="1:15" x14ac:dyDescent="0.25">
      <c r="A7" s="19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1" t="s">
        <v>586</v>
      </c>
      <c r="G7" s="191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3">
        <f t="shared" si="1"/>
        <v>8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ΙΑΣΜΟΥ</v>
      </c>
      <c r="N7" s="191">
        <f t="shared" si="4"/>
        <v>14140</v>
      </c>
      <c r="O7" s="191" t="str">
        <f t="shared" si="6"/>
        <v>Ιάσμου</v>
      </c>
    </row>
    <row r="8" spans="1:15" x14ac:dyDescent="0.25">
      <c r="A8" s="19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1" t="s">
        <v>587</v>
      </c>
      <c r="G8" s="19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193">
        <f t="shared" si="1"/>
        <v>9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ΚΑΒΑΛΑΣ</v>
      </c>
      <c r="N8" s="191">
        <f t="shared" si="4"/>
        <v>14156</v>
      </c>
      <c r="O8" s="191" t="str">
        <f t="shared" si="6"/>
        <v>Καβάλας</v>
      </c>
    </row>
    <row r="9" spans="1:15" x14ac:dyDescent="0.25">
      <c r="A9" s="19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1" t="s">
        <v>588</v>
      </c>
      <c r="G9" s="191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3">
        <f t="shared" si="1"/>
        <v>10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ΚΑΤΩ ΝΕΥΡΟΚΟΠΙΟΥ</v>
      </c>
      <c r="N9" s="191">
        <f t="shared" si="4"/>
        <v>14202</v>
      </c>
      <c r="O9" s="191" t="str">
        <f t="shared" si="6"/>
        <v>Κάτω Νευροκοπίου</v>
      </c>
    </row>
    <row r="10" spans="1:15" x14ac:dyDescent="0.25">
      <c r="A10" s="19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1" t="s">
        <v>589</v>
      </c>
      <c r="G10" s="191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3">
        <f t="shared" si="1"/>
        <v>11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ΚΟΜΟΤΗΝΗΣ</v>
      </c>
      <c r="N10" s="191">
        <f t="shared" si="4"/>
        <v>14220</v>
      </c>
      <c r="O10" s="191" t="str">
        <f t="shared" si="6"/>
        <v>Κομοτηνής</v>
      </c>
    </row>
    <row r="11" spans="1:15" x14ac:dyDescent="0.25">
      <c r="A11" s="19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1" t="s">
        <v>590</v>
      </c>
      <c r="G11" s="191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3">
        <f t="shared" si="1"/>
        <v>12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ΜΑΡΩΝΕΙΑΣ – ΣΑΠΩΝ</v>
      </c>
      <c r="N11" s="191">
        <f t="shared" si="4"/>
        <v>14280</v>
      </c>
      <c r="O11" s="191" t="str">
        <f t="shared" si="6"/>
        <v>Μαρωνείας - Σαπών</v>
      </c>
    </row>
    <row r="12" spans="1:15" x14ac:dyDescent="0.25">
      <c r="A12" s="19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1" t="s">
        <v>591</v>
      </c>
      <c r="G12" s="191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3">
        <f t="shared" si="1"/>
        <v>13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ΜΥΚΗΣ</v>
      </c>
      <c r="N12" s="191">
        <f t="shared" si="4"/>
        <v>14304</v>
      </c>
      <c r="O12" s="191" t="str">
        <f t="shared" si="6"/>
        <v>Μύκης</v>
      </c>
    </row>
    <row r="13" spans="1:15" x14ac:dyDescent="0.25">
      <c r="A13" s="19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1" t="s">
        <v>592</v>
      </c>
      <c r="G13" s="191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3">
        <f t="shared" si="1"/>
        <v>14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ΝΕΣΤΟΥ</v>
      </c>
      <c r="N13" s="191">
        <f t="shared" si="4"/>
        <v>14336</v>
      </c>
      <c r="O13" s="191" t="str">
        <f t="shared" si="6"/>
        <v>Νέστου</v>
      </c>
    </row>
    <row r="14" spans="1:15" x14ac:dyDescent="0.25">
      <c r="A14" s="19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1" t="s">
        <v>593</v>
      </c>
      <c r="G14" s="191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3">
        <f t="shared" si="1"/>
        <v>15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ΞΑΝΘΗΣ</v>
      </c>
      <c r="N14" s="191">
        <f t="shared" si="4"/>
        <v>14330</v>
      </c>
      <c r="O14" s="191" t="str">
        <f t="shared" si="6"/>
        <v>Ξάνθης</v>
      </c>
    </row>
    <row r="15" spans="1:15" x14ac:dyDescent="0.25">
      <c r="A15" s="19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1" t="s">
        <v>594</v>
      </c>
      <c r="G15" s="191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3">
        <f t="shared" si="1"/>
        <v>16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ΟΡΕΣΤΙΑΔΑΣ</v>
      </c>
      <c r="N15" s="191">
        <f t="shared" si="4"/>
        <v>14352</v>
      </c>
      <c r="O15" s="191" t="str">
        <f t="shared" si="6"/>
        <v>Ορεστιάδας</v>
      </c>
    </row>
    <row r="16" spans="1:15" x14ac:dyDescent="0.25">
      <c r="A16" s="19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1" t="s">
        <v>595</v>
      </c>
      <c r="G16" s="191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3">
        <f t="shared" si="1"/>
        <v>17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ΠΑΓΓΑΙΟΥ</v>
      </c>
      <c r="N16" s="191">
        <f t="shared" si="4"/>
        <v>14360</v>
      </c>
      <c r="O16" s="191" t="str">
        <f t="shared" si="6"/>
        <v>Παγγαίου</v>
      </c>
    </row>
    <row r="17" spans="1:15" x14ac:dyDescent="0.25">
      <c r="A17" s="19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1" t="s">
        <v>596</v>
      </c>
      <c r="G17" s="191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3">
        <f t="shared" si="1"/>
        <v>19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ΠΡΟΣΟΤΣΑΝΗΣ</v>
      </c>
      <c r="N17" s="191">
        <f t="shared" si="4"/>
        <v>14420</v>
      </c>
      <c r="O17" s="191" t="str">
        <f t="shared" si="6"/>
        <v>Προσοτσάνης</v>
      </c>
    </row>
    <row r="18" spans="1:15" x14ac:dyDescent="0.25">
      <c r="A18" s="19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1" t="s">
        <v>597</v>
      </c>
      <c r="G18" s="191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3">
        <f t="shared" si="1"/>
        <v>20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ΣΑΜΟΘΡΑΚΗΣ</v>
      </c>
      <c r="N18" s="191">
        <f t="shared" si="4"/>
        <v>14432</v>
      </c>
      <c r="O18" s="191" t="str">
        <f t="shared" si="6"/>
        <v>Σαμοθράκης</v>
      </c>
    </row>
    <row r="19" spans="1:15" x14ac:dyDescent="0.25">
      <c r="A19" s="19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1" t="s">
        <v>598</v>
      </c>
      <c r="G19" s="191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Μερική</v>
      </c>
      <c r="J19" t="str">
        <f t="shared" si="5"/>
        <v/>
      </c>
      <c r="K19" s="193">
        <f t="shared" si="1"/>
        <v>21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ΣΟΥΦΛΙΟΥ</v>
      </c>
      <c r="N19" s="191">
        <f t="shared" si="4"/>
        <v>14470</v>
      </c>
      <c r="O19" s="191" t="str">
        <f t="shared" si="6"/>
        <v>Σουφλίου</v>
      </c>
    </row>
    <row r="20" spans="1:15" x14ac:dyDescent="0.25">
      <c r="A20" s="19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1" t="s">
        <v>599</v>
      </c>
      <c r="G20" s="191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3">
        <f t="shared" si="1"/>
        <v>22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ΤΟΠΕΙΡΟΥ</v>
      </c>
      <c r="N20" s="191">
        <f t="shared" si="4"/>
        <v>14492</v>
      </c>
      <c r="O20" s="191" t="str">
        <f t="shared" si="6"/>
        <v>Τοπείρου</v>
      </c>
    </row>
    <row r="21" spans="1:15" x14ac:dyDescent="0.25">
      <c r="A21" s="19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1" t="s">
        <v>600</v>
      </c>
      <c r="G21" s="191">
        <v>14432</v>
      </c>
      <c r="H21" t="str">
        <f>_xlfn.IFNA(INDEX(DimosNaiOxi,MATCH(ΤΚ!E21,DimosNai,0)),"")</f>
        <v>ΝΑΙ</v>
      </c>
      <c r="I21" t="str">
        <f>LOOKUP(B21,ΠΕΡΙΦΕΡΕΙΑ!$A$2:$A$14,ΠΕΡΙΦΕΡΕΙΑ!$B$2:$B$14)</f>
        <v>Μερική</v>
      </c>
      <c r="J21">
        <f t="shared" si="5"/>
        <v>20</v>
      </c>
      <c r="K21" s="193">
        <f t="shared" si="1"/>
        <v>23</v>
      </c>
      <c r="L21" t="str">
        <f t="shared" si="2"/>
        <v>ΑΤΤΙΚΗΣ</v>
      </c>
      <c r="M21" t="str">
        <f t="shared" si="3"/>
        <v>ΑΤΤΙΚΗΣ - ΑΓΙΑΣ ΒΑΡΒΑΡΑΣ</v>
      </c>
      <c r="N21" s="191">
        <f t="shared" si="4"/>
        <v>13922</v>
      </c>
      <c r="O21" s="191" t="str">
        <f t="shared" si="6"/>
        <v>Αγίας Βαρβάρας</v>
      </c>
    </row>
    <row r="22" spans="1:15" x14ac:dyDescent="0.25">
      <c r="A22" s="19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1" t="s">
        <v>601</v>
      </c>
      <c r="G22" s="191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3">
        <f t="shared" si="1"/>
        <v>24</v>
      </c>
      <c r="L22" t="str">
        <f t="shared" si="2"/>
        <v>ΑΤΤΙΚΗΣ</v>
      </c>
      <c r="M22" t="str">
        <f t="shared" si="3"/>
        <v>ΑΤΤΙΚΗΣ - ΑΓΙΑΣ ΠΑΡΑΣΚΕΥΗΣ</v>
      </c>
      <c r="N22" s="191">
        <f t="shared" si="4"/>
        <v>13924</v>
      </c>
      <c r="O22" s="191" t="str">
        <f t="shared" si="6"/>
        <v>Αγίας Παρασκευής</v>
      </c>
    </row>
    <row r="23" spans="1:15" x14ac:dyDescent="0.25">
      <c r="A23" s="19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1" t="s">
        <v>602</v>
      </c>
      <c r="G23" s="191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3">
        <f t="shared" si="1"/>
        <v>25</v>
      </c>
      <c r="L23" t="str">
        <f t="shared" si="2"/>
        <v>ΑΤΤΙΚΗΣ</v>
      </c>
      <c r="M23" t="str">
        <f t="shared" si="3"/>
        <v>ΑΤΤΙΚΗΣ - ΑΓΙΟΥ ΔΗΜΗΤΡΙΟΥ</v>
      </c>
      <c r="N23" s="191">
        <f t="shared" si="4"/>
        <v>13926</v>
      </c>
      <c r="O23" s="191" t="str">
        <f t="shared" si="6"/>
        <v>Αγίου Δημητρίου</v>
      </c>
    </row>
    <row r="24" spans="1:15" x14ac:dyDescent="0.25">
      <c r="A24" s="19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1" t="s">
        <v>603</v>
      </c>
      <c r="G24" s="191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3">
        <f t="shared" si="1"/>
        <v>26</v>
      </c>
      <c r="L24" t="str">
        <f t="shared" si="2"/>
        <v>ΑΤΤΙΚΗΣ</v>
      </c>
      <c r="M24" t="str">
        <f t="shared" si="3"/>
        <v>ΑΤΤΙΚΗΣ - ΑΓΙΩΝ ΑΝΑΡΓΥΡΩΝ – ΚΑΜΑΤΕΡΟΥ</v>
      </c>
      <c r="N24" s="191">
        <f t="shared" si="4"/>
        <v>13932</v>
      </c>
      <c r="O24" s="191" t="str">
        <f t="shared" si="6"/>
        <v>Αγίων Αναργύρων - Καματερού</v>
      </c>
    </row>
    <row r="25" spans="1:15" x14ac:dyDescent="0.25">
      <c r="A25" s="19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1" t="s">
        <v>604</v>
      </c>
      <c r="G25" s="191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3">
        <f t="shared" si="1"/>
        <v>28</v>
      </c>
      <c r="L25" t="str">
        <f t="shared" si="2"/>
        <v>ΑΤΤΙΚΗΣ</v>
      </c>
      <c r="M25" t="str">
        <f t="shared" si="3"/>
        <v>ΑΤΤΙΚΗΣ - ΑΘΗΝΑΙΩΝ</v>
      </c>
      <c r="N25" s="191">
        <f t="shared" si="4"/>
        <v>13944</v>
      </c>
      <c r="O25" s="191" t="str">
        <f t="shared" si="6"/>
        <v>Αθηναίων</v>
      </c>
    </row>
    <row r="26" spans="1:15" x14ac:dyDescent="0.25">
      <c r="A26" s="19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1" t="s">
        <v>605</v>
      </c>
      <c r="G26" s="191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3">
        <f t="shared" si="1"/>
        <v>29</v>
      </c>
      <c r="L26" t="str">
        <f t="shared" si="2"/>
        <v>ΑΤΤΙΚΗΣ</v>
      </c>
      <c r="M26" t="str">
        <f t="shared" si="3"/>
        <v>ΑΤΤΙΚΗΣ - ΑΙΓΑΛΕΩ</v>
      </c>
      <c r="N26" s="191">
        <f t="shared" si="4"/>
        <v>13946</v>
      </c>
      <c r="O26" s="191" t="str">
        <f t="shared" si="6"/>
        <v>Αιγάλεω</v>
      </c>
    </row>
    <row r="27" spans="1:15" x14ac:dyDescent="0.25">
      <c r="A27" s="19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1" t="s">
        <v>606</v>
      </c>
      <c r="G27" s="191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3">
        <f t="shared" si="1"/>
        <v>31</v>
      </c>
      <c r="L27" t="str">
        <f t="shared" si="2"/>
        <v>ΑΤΤΙΚΗΣ</v>
      </c>
      <c r="M27" t="str">
        <f t="shared" si="3"/>
        <v>ΑΤΤΙΚΗΣ - ΑΛΙΜΟΥ</v>
      </c>
      <c r="N27" s="191">
        <f t="shared" si="4"/>
        <v>13956</v>
      </c>
      <c r="O27" s="191" t="str">
        <f t="shared" si="6"/>
        <v>Αλίμου</v>
      </c>
    </row>
    <row r="28" spans="1:15" x14ac:dyDescent="0.25">
      <c r="A28" s="19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1" t="s">
        <v>607</v>
      </c>
      <c r="G28" s="19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3">
        <f t="shared" si="1"/>
        <v>32</v>
      </c>
      <c r="L28" t="str">
        <f t="shared" si="2"/>
        <v>ΑΤΤΙΚΗΣ</v>
      </c>
      <c r="M28" t="str">
        <f t="shared" si="3"/>
        <v>ΑΤΤΙΚΗΣ - ΑΜΑΡΟΥΣΙΟΥ</v>
      </c>
      <c r="N28" s="191">
        <f t="shared" si="4"/>
        <v>13964</v>
      </c>
      <c r="O28" s="191" t="str">
        <f t="shared" si="6"/>
        <v>Αμαρουσίου</v>
      </c>
    </row>
    <row r="29" spans="1:15" x14ac:dyDescent="0.25">
      <c r="A29" s="19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1" t="s">
        <v>608</v>
      </c>
      <c r="G29" s="191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3">
        <f t="shared" si="1"/>
        <v>33</v>
      </c>
      <c r="L29" t="str">
        <f t="shared" si="2"/>
        <v>ΑΤΤΙΚΗΣ</v>
      </c>
      <c r="M29" t="str">
        <f t="shared" si="3"/>
        <v>ΑΤΤΙΚΗΣ - ΑΣΠΡΟΠΥΡΓΟΥ</v>
      </c>
      <c r="N29" s="191">
        <f t="shared" si="4"/>
        <v>14004</v>
      </c>
      <c r="O29" s="191" t="str">
        <f t="shared" si="6"/>
        <v>Ασπροπύργου</v>
      </c>
    </row>
    <row r="30" spans="1:15" x14ac:dyDescent="0.25">
      <c r="A30" s="19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1" t="s">
        <v>609</v>
      </c>
      <c r="G30" s="191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3">
        <f t="shared" si="1"/>
        <v>34</v>
      </c>
      <c r="L30" t="str">
        <f t="shared" si="2"/>
        <v>ΑΤΤΙΚΗΣ</v>
      </c>
      <c r="M30" t="str">
        <f t="shared" si="3"/>
        <v>ΑΤΤΙΚΗΣ - ΑΧΑΡΝΩΝ</v>
      </c>
      <c r="N30" s="191">
        <f t="shared" si="4"/>
        <v>14008</v>
      </c>
      <c r="O30" s="191" t="str">
        <f t="shared" si="6"/>
        <v>Αχαρνών</v>
      </c>
    </row>
    <row r="31" spans="1:15" x14ac:dyDescent="0.25">
      <c r="A31" s="19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1" t="s">
        <v>610</v>
      </c>
      <c r="G31" s="191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3">
        <f t="shared" si="1"/>
        <v>35</v>
      </c>
      <c r="L31" t="str">
        <f t="shared" si="2"/>
        <v>ΑΤΤΙΚΗΣ</v>
      </c>
      <c r="M31" t="str">
        <f t="shared" si="3"/>
        <v>ΑΤΤΙΚΗΣ - ΒΑΡΗΣ – ΒΟΥΛΑΣ – ΒΟΥΛΙΑΓΜΕΝΗΣ</v>
      </c>
      <c r="N31" s="191">
        <f t="shared" si="4"/>
        <v>14010</v>
      </c>
      <c r="O31" s="191" t="str">
        <f t="shared" si="6"/>
        <v>Βάρης - Βούλας - Βουλιαγμένης</v>
      </c>
    </row>
    <row r="32" spans="1:15" x14ac:dyDescent="0.25">
      <c r="A32" s="19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1" t="s">
        <v>611</v>
      </c>
      <c r="G32" s="191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3">
        <f t="shared" si="1"/>
        <v>36</v>
      </c>
      <c r="L32" t="str">
        <f t="shared" si="2"/>
        <v>ΑΤΤΙΚΗΣ</v>
      </c>
      <c r="M32" t="str">
        <f t="shared" si="3"/>
        <v>ΑΤΤΙΚΗΣ - ΒΡΙΛΗΣΣΙΩΝ</v>
      </c>
      <c r="N32" s="191">
        <f t="shared" si="4"/>
        <v>14024</v>
      </c>
      <c r="O32" s="191" t="str">
        <f t="shared" si="6"/>
        <v>Βριλησσίων</v>
      </c>
    </row>
    <row r="33" spans="1:15" x14ac:dyDescent="0.25">
      <c r="A33" s="19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1" t="s">
        <v>612</v>
      </c>
      <c r="G33" s="191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3">
        <f t="shared" si="1"/>
        <v>37</v>
      </c>
      <c r="L33" t="str">
        <f t="shared" si="2"/>
        <v>ΑΤΤΙΚΗΣ</v>
      </c>
      <c r="M33" t="str">
        <f t="shared" si="3"/>
        <v>ΑΤΤΙΚΗΣ - ΒΥΡΩΝΟΣ</v>
      </c>
      <c r="N33" s="191">
        <f t="shared" si="4"/>
        <v>14032</v>
      </c>
      <c r="O33" s="191" t="str">
        <f t="shared" si="6"/>
        <v>Βύρωνος</v>
      </c>
    </row>
    <row r="34" spans="1:15" x14ac:dyDescent="0.25">
      <c r="A34" s="19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1" t="s">
        <v>613</v>
      </c>
      <c r="G34" s="191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3">
        <f t="shared" si="1"/>
        <v>38</v>
      </c>
      <c r="L34" t="str">
        <f t="shared" si="2"/>
        <v>ΑΤΤΙΚΗΣ</v>
      </c>
      <c r="M34" t="str">
        <f t="shared" si="3"/>
        <v>ΑΤΤΙΚΗΣ - ΓΑΛΑΤΣΙΟΥ</v>
      </c>
      <c r="N34" s="191">
        <f t="shared" si="4"/>
        <v>14036</v>
      </c>
      <c r="O34" s="191" t="str">
        <f t="shared" si="6"/>
        <v>Γαλατσίου</v>
      </c>
    </row>
    <row r="35" spans="1:15" x14ac:dyDescent="0.25">
      <c r="A35" s="19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1" t="s">
        <v>614</v>
      </c>
      <c r="G35" s="191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3">
        <f t="shared" si="1"/>
        <v>39</v>
      </c>
      <c r="L35" t="str">
        <f t="shared" si="2"/>
        <v>ΑΤΤΙΚΗΣ</v>
      </c>
      <c r="M35" t="str">
        <f t="shared" si="3"/>
        <v>ΑΤΤΙΚΗΣ - ΓΛΥΦΑΔΑΣ</v>
      </c>
      <c r="N35" s="191">
        <f t="shared" si="4"/>
        <v>14040</v>
      </c>
      <c r="O35" s="191" t="str">
        <f t="shared" si="6"/>
        <v>Γλυφάδας</v>
      </c>
    </row>
    <row r="36" spans="1:15" x14ac:dyDescent="0.25">
      <c r="A36" s="19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1" t="s">
        <v>615</v>
      </c>
      <c r="G36" s="191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3">
        <f t="shared" si="1"/>
        <v>40</v>
      </c>
      <c r="L36" t="str">
        <f t="shared" si="2"/>
        <v>ΑΤΤΙΚΗΣ</v>
      </c>
      <c r="M36" t="str">
        <f t="shared" si="3"/>
        <v>ΑΤΤΙΚΗΣ - ΔΑΦΝΗΣ – ΥΜΗΤΤΟΥ</v>
      </c>
      <c r="N36" s="191">
        <f t="shared" si="4"/>
        <v>14048</v>
      </c>
      <c r="O36" s="191" t="str">
        <f t="shared" si="6"/>
        <v>Δάφνης - Υμηττού</v>
      </c>
    </row>
    <row r="37" spans="1:15" x14ac:dyDescent="0.25">
      <c r="A37" s="19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1" t="s">
        <v>616</v>
      </c>
      <c r="G37" s="191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3">
        <f t="shared" si="1"/>
        <v>41</v>
      </c>
      <c r="L37" t="str">
        <f t="shared" si="2"/>
        <v>ΑΤΤΙΚΗΣ</v>
      </c>
      <c r="M37" t="str">
        <f t="shared" si="3"/>
        <v>ΑΤΤΙΚΗΣ - ΔΙΟΝΥΣΟΥ</v>
      </c>
      <c r="N37" s="191">
        <f t="shared" si="4"/>
        <v>14060</v>
      </c>
      <c r="O37" s="191" t="str">
        <f t="shared" si="6"/>
        <v>Διονύσου</v>
      </c>
    </row>
    <row r="38" spans="1:15" x14ac:dyDescent="0.25">
      <c r="A38" s="19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1" t="s">
        <v>617</v>
      </c>
      <c r="G38" s="191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3">
        <f t="shared" si="1"/>
        <v>42</v>
      </c>
      <c r="L38" t="str">
        <f t="shared" si="2"/>
        <v>ΑΤΤΙΚΗΣ</v>
      </c>
      <c r="M38" t="str">
        <f t="shared" si="3"/>
        <v>ΑΤΤΙΚΗΣ - ΕΛΕΥΣΙΝΑΣ</v>
      </c>
      <c r="N38" s="191">
        <f t="shared" si="4"/>
        <v>14084</v>
      </c>
      <c r="O38" s="191" t="str">
        <f t="shared" si="6"/>
        <v>Ελευσίνας</v>
      </c>
    </row>
    <row r="39" spans="1:15" x14ac:dyDescent="0.25">
      <c r="A39" s="19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1" t="s">
        <v>618</v>
      </c>
      <c r="G39" s="191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3">
        <f t="shared" si="1"/>
        <v>43</v>
      </c>
      <c r="L39" t="str">
        <f t="shared" si="2"/>
        <v>ΑΤΤΙΚΗΣ</v>
      </c>
      <c r="M39" t="str">
        <f t="shared" si="3"/>
        <v>ΑΤΤΙΚΗΣ - ΕΛΛΗΝΙΚΟΥ – ΑΡΓΥΡΟΥΠΟΛΗΣ</v>
      </c>
      <c r="N39" s="191">
        <f t="shared" si="4"/>
        <v>14086</v>
      </c>
      <c r="O39" s="191" t="str">
        <f t="shared" si="6"/>
        <v>Ελληνικού - Αργυρούπολης</v>
      </c>
    </row>
    <row r="40" spans="1:15" x14ac:dyDescent="0.25">
      <c r="A40" s="19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1" t="s">
        <v>619</v>
      </c>
      <c r="G40" s="191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3">
        <f t="shared" si="1"/>
        <v>44</v>
      </c>
      <c r="L40" t="str">
        <f t="shared" si="2"/>
        <v>ΑΤΤΙΚΗΣ</v>
      </c>
      <c r="M40" t="str">
        <f t="shared" si="3"/>
        <v>ΑΤΤΙΚΗΣ - ΖΩΓΡΑΦΟΥ</v>
      </c>
      <c r="N40" s="191">
        <f t="shared" si="4"/>
        <v>14116</v>
      </c>
      <c r="O40" s="191" t="str">
        <f t="shared" si="6"/>
        <v>Ζωγράφου</v>
      </c>
    </row>
    <row r="41" spans="1:15" x14ac:dyDescent="0.25">
      <c r="A41" s="19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1" t="s">
        <v>620</v>
      </c>
      <c r="G41" s="191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3">
        <f t="shared" si="1"/>
        <v>45</v>
      </c>
      <c r="L41" t="str">
        <f t="shared" si="2"/>
        <v>ΑΤΤΙΚΗΣ</v>
      </c>
      <c r="M41" t="str">
        <f t="shared" si="3"/>
        <v>ΑΤΤΙΚΗΣ - ΗΛΙΟΥΠΟΛΕΩΣ</v>
      </c>
      <c r="N41" s="191">
        <f t="shared" si="4"/>
        <v>14120</v>
      </c>
      <c r="O41" s="191" t="str">
        <f t="shared" si="6"/>
        <v>Ηλιούπολης</v>
      </c>
    </row>
    <row r="42" spans="1:15" x14ac:dyDescent="0.25">
      <c r="A42" s="19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1" t="s">
        <v>621</v>
      </c>
      <c r="G42" s="191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3">
        <f t="shared" si="1"/>
        <v>46</v>
      </c>
      <c r="L42" t="str">
        <f t="shared" si="2"/>
        <v>ΑΤΤΙΚΗΣ</v>
      </c>
      <c r="M42" t="str">
        <f t="shared" si="3"/>
        <v>ΑΤΤΙΚΗΣ - ΗΡΑΚΛΕΙΟΥ</v>
      </c>
      <c r="N42" s="191">
        <f t="shared" si="4"/>
        <v>0</v>
      </c>
      <c r="O42" s="191">
        <f t="shared" si="6"/>
        <v>0</v>
      </c>
    </row>
    <row r="43" spans="1:15" x14ac:dyDescent="0.25">
      <c r="A43" s="19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1" t="s">
        <v>622</v>
      </c>
      <c r="G43" s="191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3">
        <f t="shared" si="1"/>
        <v>47</v>
      </c>
      <c r="L43" t="str">
        <f t="shared" si="2"/>
        <v>ΑΤΤΙΚΗΣ</v>
      </c>
      <c r="M43" t="str">
        <f t="shared" si="3"/>
        <v>ΑΤΤΙΚΗΣ - ΙΛΙΟΥ</v>
      </c>
      <c r="N43" s="191">
        <f t="shared" si="4"/>
        <v>14150</v>
      </c>
      <c r="O43" s="191" t="str">
        <f t="shared" si="6"/>
        <v>Ιλίου</v>
      </c>
    </row>
    <row r="44" spans="1:15" x14ac:dyDescent="0.25">
      <c r="A44" s="19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1" t="s">
        <v>623</v>
      </c>
      <c r="G44" s="191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3">
        <f t="shared" si="1"/>
        <v>48</v>
      </c>
      <c r="L44" t="str">
        <f t="shared" si="2"/>
        <v>ΑΤΤΙΚΗΣ</v>
      </c>
      <c r="M44" t="str">
        <f t="shared" si="3"/>
        <v>ΑΤΤΙΚΗΣ - ΚΑΙΣΑΡΙΑΝΗΣ</v>
      </c>
      <c r="N44" s="191">
        <f t="shared" si="4"/>
        <v>14158</v>
      </c>
      <c r="O44" s="191" t="str">
        <f t="shared" si="6"/>
        <v>Καισαριανής</v>
      </c>
    </row>
    <row r="45" spans="1:15" x14ac:dyDescent="0.25">
      <c r="A45" s="19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1" t="s">
        <v>624</v>
      </c>
      <c r="G45" s="191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3">
        <f t="shared" si="1"/>
        <v>49</v>
      </c>
      <c r="L45" t="str">
        <f t="shared" si="2"/>
        <v>ΑΤΤΙΚΗΣ</v>
      </c>
      <c r="M45" t="str">
        <f t="shared" si="3"/>
        <v>ΑΤΤΙΚΗΣ - ΚΑΛΛΙΘΕΑΣ</v>
      </c>
      <c r="N45" s="191">
        <f t="shared" si="4"/>
        <v>14180</v>
      </c>
      <c r="O45" s="191" t="str">
        <f t="shared" si="6"/>
        <v>Καλλιθέας</v>
      </c>
    </row>
    <row r="46" spans="1:15" x14ac:dyDescent="0.25">
      <c r="A46" s="19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1" t="s">
        <v>625</v>
      </c>
      <c r="G46" s="191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3">
        <f t="shared" si="1"/>
        <v>50</v>
      </c>
      <c r="L46" t="str">
        <f t="shared" si="2"/>
        <v>ΑΤΤΙΚΗΣ</v>
      </c>
      <c r="M46" t="str">
        <f t="shared" si="3"/>
        <v>ΑΤΤΙΚΗΣ - ΚΕΡΑΤΣΙΝΙΟΥ – ΔΡΑΠΕΤΣΩΝΑΣ</v>
      </c>
      <c r="N46" s="191">
        <f t="shared" si="4"/>
        <v>14164</v>
      </c>
      <c r="O46" s="191" t="str">
        <f t="shared" si="6"/>
        <v>Κερατσινίου - Δραπετσώνας</v>
      </c>
    </row>
    <row r="47" spans="1:15" x14ac:dyDescent="0.25">
      <c r="A47" s="19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3">
        <f t="shared" si="1"/>
        <v>51</v>
      </c>
      <c r="L47" t="str">
        <f t="shared" si="2"/>
        <v>ΑΤΤΙΚΗΣ</v>
      </c>
      <c r="M47" t="str">
        <f t="shared" si="3"/>
        <v>ΑΤΤΙΚΗΣ - ΚΗΦΙΣΙΑΣ</v>
      </c>
      <c r="N47" s="191">
        <f t="shared" si="4"/>
        <v>14166</v>
      </c>
      <c r="O47" s="191" t="str">
        <f t="shared" si="6"/>
        <v>Κηφισιάς</v>
      </c>
    </row>
    <row r="48" spans="1:15" x14ac:dyDescent="0.25">
      <c r="A48" s="19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1" t="s">
        <v>626</v>
      </c>
      <c r="G48" s="191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3">
        <f t="shared" si="1"/>
        <v>52</v>
      </c>
      <c r="L48" t="str">
        <f t="shared" si="2"/>
        <v>ΑΤΤΙΚΗΣ</v>
      </c>
      <c r="M48" t="str">
        <f t="shared" si="3"/>
        <v>ΑΤΤΙΚΗΣ - ΚΟΡΥΔΑΛΛΟΥ</v>
      </c>
      <c r="N48" s="191">
        <f t="shared" si="4"/>
        <v>14226</v>
      </c>
      <c r="O48" s="191" t="str">
        <f t="shared" si="6"/>
        <v>Κορυδαλλού</v>
      </c>
    </row>
    <row r="49" spans="1:15" x14ac:dyDescent="0.25">
      <c r="A49" s="19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1" t="s">
        <v>627</v>
      </c>
      <c r="G49" s="191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3">
        <f t="shared" si="1"/>
        <v>53</v>
      </c>
      <c r="L49" t="str">
        <f t="shared" si="2"/>
        <v>ΑΤΤΙΚΗΣ</v>
      </c>
      <c r="M49" t="str">
        <f t="shared" si="3"/>
        <v>ΑΤΤΙΚΗΣ - ΚΡΩΠΙΑΣ</v>
      </c>
      <c r="N49" s="191">
        <f t="shared" si="4"/>
        <v>14228</v>
      </c>
      <c r="O49" s="191" t="str">
        <f t="shared" si="6"/>
        <v>Κρωπίας</v>
      </c>
    </row>
    <row r="50" spans="1:15" x14ac:dyDescent="0.25">
      <c r="A50" s="19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1" t="s">
        <v>628</v>
      </c>
      <c r="G50" s="191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3">
        <f t="shared" si="1"/>
        <v>55</v>
      </c>
      <c r="L50" t="str">
        <f t="shared" si="2"/>
        <v>ΑΤΤΙΚΗΣ</v>
      </c>
      <c r="M50" t="str">
        <f t="shared" si="3"/>
        <v>ΑΤΤΙΚΗΣ - ΛΑΥΡΕΩΤΙΚΗΣ</v>
      </c>
      <c r="N50" s="191">
        <f t="shared" si="4"/>
        <v>14248</v>
      </c>
      <c r="O50" s="191" t="str">
        <f t="shared" si="6"/>
        <v>Λαυρεωτικής</v>
      </c>
    </row>
    <row r="51" spans="1:15" x14ac:dyDescent="0.25">
      <c r="A51" s="19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1" t="s">
        <v>629</v>
      </c>
      <c r="G51" s="191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3">
        <f t="shared" si="1"/>
        <v>56</v>
      </c>
      <c r="L51" t="str">
        <f t="shared" si="2"/>
        <v>ΑΤΤΙΚΗΣ</v>
      </c>
      <c r="M51" t="str">
        <f t="shared" si="3"/>
        <v>ΑΤΤΙΚΗΣ - ΛΥΚΟΒΡΥΣΗΣ – ΠΕΥΚΗΣ</v>
      </c>
      <c r="N51" s="191">
        <f t="shared" si="4"/>
        <v>14260</v>
      </c>
      <c r="O51" s="191" t="str">
        <f t="shared" si="6"/>
        <v>Λυκόβρυσης - Πεύκης</v>
      </c>
    </row>
    <row r="52" spans="1:15" x14ac:dyDescent="0.25">
      <c r="A52" s="19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1" t="s">
        <v>630</v>
      </c>
      <c r="G52" s="191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3">
        <f t="shared" si="1"/>
        <v>57</v>
      </c>
      <c r="L52" t="str">
        <f t="shared" si="2"/>
        <v>ΑΤΤΙΚΗΣ</v>
      </c>
      <c r="M52" t="str">
        <f t="shared" si="3"/>
        <v>ΑΤΤΙΚΗΣ - ΜΑΝΔΡΑΣ – ΕΙΔΥΛΛΙΑΣ</v>
      </c>
      <c r="N52" s="191">
        <f t="shared" si="4"/>
        <v>14274</v>
      </c>
      <c r="O52" s="191" t="str">
        <f t="shared" si="6"/>
        <v>Μάνδρας - Ειδυλλίας</v>
      </c>
    </row>
    <row r="53" spans="1:15" x14ac:dyDescent="0.25">
      <c r="A53" s="19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1" t="s">
        <v>631</v>
      </c>
      <c r="G53" s="191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3">
        <f t="shared" si="1"/>
        <v>58</v>
      </c>
      <c r="L53" t="str">
        <f t="shared" si="2"/>
        <v>ΑΤΤΙΚΗΣ</v>
      </c>
      <c r="M53" t="str">
        <f t="shared" si="3"/>
        <v>ΑΤΤΙΚΗΣ - ΜΑΡΑΘΩΝΟΣ</v>
      </c>
      <c r="N53" s="191">
        <f t="shared" si="4"/>
        <v>14266</v>
      </c>
      <c r="O53" s="191" t="str">
        <f t="shared" si="6"/>
        <v>Μαραθώνος</v>
      </c>
    </row>
    <row r="54" spans="1:15" x14ac:dyDescent="0.25">
      <c r="A54" s="19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1" t="s">
        <v>632</v>
      </c>
      <c r="G54" s="191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3">
        <f t="shared" si="1"/>
        <v>59</v>
      </c>
      <c r="L54" t="str">
        <f t="shared" si="2"/>
        <v>ΑΤΤΙΚΗΣ</v>
      </c>
      <c r="M54" t="str">
        <f t="shared" si="3"/>
        <v>ΑΤΤΙΚΗΣ - ΜΑΡΚΟΠΟΥΛΟΥ ΜΕΣΟΓΑΙΑΣ</v>
      </c>
      <c r="N54" s="191">
        <f t="shared" si="4"/>
        <v>14278</v>
      </c>
      <c r="O54" s="191" t="str">
        <f t="shared" si="6"/>
        <v>Μαρκοπούλου Μεσογαίας</v>
      </c>
    </row>
    <row r="55" spans="1:15" x14ac:dyDescent="0.25">
      <c r="A55" s="19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1" t="s">
        <v>633</v>
      </c>
      <c r="G55" s="19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3">
        <f t="shared" si="1"/>
        <v>60</v>
      </c>
      <c r="L55" t="str">
        <f t="shared" si="2"/>
        <v>ΑΤΤΙΚΗΣ</v>
      </c>
      <c r="M55" t="str">
        <f t="shared" si="3"/>
        <v>ΑΤΤΙΚΗΣ - ΜΕΓΑΡΕΩΝ</v>
      </c>
      <c r="N55" s="191">
        <f t="shared" si="4"/>
        <v>14288</v>
      </c>
      <c r="O55" s="191" t="str">
        <f t="shared" si="6"/>
        <v>Μεγαρέων</v>
      </c>
    </row>
    <row r="56" spans="1:15" x14ac:dyDescent="0.25">
      <c r="A56" s="19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1" t="s">
        <v>634</v>
      </c>
      <c r="G56" s="191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3">
        <f t="shared" si="1"/>
        <v>61</v>
      </c>
      <c r="L56" t="str">
        <f t="shared" si="2"/>
        <v>ΑΤΤΙΚΗΣ</v>
      </c>
      <c r="M56" t="str">
        <f t="shared" si="3"/>
        <v>ΑΤΤΙΚΗΣ - ΜΕΤΑΜΟΡΦΩΣΕΩΣ</v>
      </c>
      <c r="N56" s="191">
        <f t="shared" si="4"/>
        <v>14286</v>
      </c>
      <c r="O56" s="191" t="str">
        <f t="shared" si="6"/>
        <v>Μεταμορφώσεως</v>
      </c>
    </row>
    <row r="57" spans="1:15" x14ac:dyDescent="0.25">
      <c r="A57" s="19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1" t="s">
        <v>635</v>
      </c>
      <c r="G57" s="191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3">
        <f t="shared" si="1"/>
        <v>62</v>
      </c>
      <c r="L57" t="str">
        <f t="shared" si="2"/>
        <v>ΑΤΤΙΚΗΣ</v>
      </c>
      <c r="M57" t="str">
        <f t="shared" si="3"/>
        <v>ΑΤΤΙΚΗΣ - ΜΟΣΧΑΤΟΥ – ΤΑΥΡΟΥ</v>
      </c>
      <c r="N57" s="191">
        <f t="shared" si="4"/>
        <v>14300</v>
      </c>
      <c r="O57" s="191" t="str">
        <f t="shared" si="6"/>
        <v>Μοσχάτου - Ταύρου</v>
      </c>
    </row>
    <row r="58" spans="1:15" x14ac:dyDescent="0.25">
      <c r="A58" s="19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1" t="s">
        <v>636</v>
      </c>
      <c r="G58" s="191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3">
        <f t="shared" si="1"/>
        <v>63</v>
      </c>
      <c r="L58" t="str">
        <f t="shared" si="2"/>
        <v>ΑΤΤΙΚΗΣ</v>
      </c>
      <c r="M58" t="str">
        <f t="shared" si="3"/>
        <v>ΑΤΤΙΚΗΣ - ΝΕΑΣ ΙΩΝΙΑΣ</v>
      </c>
      <c r="N58" s="191">
        <f t="shared" si="4"/>
        <v>14316</v>
      </c>
      <c r="O58" s="191" t="str">
        <f t="shared" si="6"/>
        <v>Νέας Ιωνίας</v>
      </c>
    </row>
    <row r="59" spans="1:15" x14ac:dyDescent="0.25">
      <c r="A59" s="19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1" t="s">
        <v>637</v>
      </c>
      <c r="G59" s="191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3">
        <f t="shared" si="1"/>
        <v>64</v>
      </c>
      <c r="L59" t="str">
        <f t="shared" si="2"/>
        <v>ΑΤΤΙΚΗΣ</v>
      </c>
      <c r="M59" t="str">
        <f t="shared" si="3"/>
        <v>ΑΤΤΙΚΗΣ - ΝΕΑΣ ΣΜΥΡΝΗΣ</v>
      </c>
      <c r="N59" s="191">
        <f t="shared" si="4"/>
        <v>14320</v>
      </c>
      <c r="O59" s="191" t="str">
        <f t="shared" si="6"/>
        <v>Νέας Σμύρνης</v>
      </c>
    </row>
    <row r="60" spans="1:15" x14ac:dyDescent="0.25">
      <c r="A60" s="19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1" t="s">
        <v>638</v>
      </c>
      <c r="G60" s="191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3">
        <f t="shared" si="1"/>
        <v>65</v>
      </c>
      <c r="L60" t="str">
        <f t="shared" si="2"/>
        <v>ΑΤΤΙΚΗΣ</v>
      </c>
      <c r="M60" t="str">
        <f t="shared" si="3"/>
        <v>ΑΤΤΙΚΗΣ - ΝΙΚΑΙΑΣ – ΑΓΙΟΥ ΙΩΑΝΝΗ ΡΕΝΤΗ</v>
      </c>
      <c r="N60" s="191">
        <f t="shared" si="4"/>
        <v>14338</v>
      </c>
      <c r="O60" s="191" t="str">
        <f t="shared" si="6"/>
        <v>Νίκαιας - Αγίου Ι. Ρέντη</v>
      </c>
    </row>
    <row r="61" spans="1:15" x14ac:dyDescent="0.25">
      <c r="A61" s="19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1" t="s">
        <v>639</v>
      </c>
      <c r="G61" s="191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3">
        <f t="shared" si="1"/>
        <v>66</v>
      </c>
      <c r="L61" t="str">
        <f t="shared" si="2"/>
        <v>ΑΤΤΙΚΗΣ</v>
      </c>
      <c r="M61" t="str">
        <f t="shared" si="3"/>
        <v>ΑΤΤΙΚΗΣ - ΠΑΙΑΝΙΑΣ</v>
      </c>
      <c r="N61" s="191">
        <f t="shared" si="4"/>
        <v>14362</v>
      </c>
      <c r="O61" s="191" t="str">
        <f t="shared" si="6"/>
        <v>Παιανίας</v>
      </c>
    </row>
    <row r="62" spans="1:15" x14ac:dyDescent="0.25">
      <c r="A62" s="19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1" t="s">
        <v>640</v>
      </c>
      <c r="G62" s="191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3">
        <f t="shared" si="1"/>
        <v>67</v>
      </c>
      <c r="L62" t="str">
        <f t="shared" si="2"/>
        <v>ΑΤΤΙΚΗΣ</v>
      </c>
      <c r="M62" t="str">
        <f t="shared" si="3"/>
        <v>ΑΤΤΙΚΗΣ - ΠΑΛΑΙΟΥ ΦΑΛΗΡΟΥ</v>
      </c>
      <c r="N62" s="191">
        <f t="shared" si="4"/>
        <v>14386</v>
      </c>
      <c r="O62" s="191" t="str">
        <f t="shared" si="6"/>
        <v>Παλαιού Φαλήρου</v>
      </c>
    </row>
    <row r="63" spans="1:15" x14ac:dyDescent="0.25">
      <c r="A63" s="19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1" t="s">
        <v>641</v>
      </c>
      <c r="G63" s="191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3">
        <f t="shared" si="1"/>
        <v>68</v>
      </c>
      <c r="L63" t="str">
        <f t="shared" si="2"/>
        <v>ΑΤΤΙΚΗΣ</v>
      </c>
      <c r="M63" t="str">
        <f t="shared" si="3"/>
        <v>ΑΤΤΙΚΗΣ - ΠΑΛΛΗΝΗΣ</v>
      </c>
      <c r="N63" s="191">
        <f t="shared" si="4"/>
        <v>14390</v>
      </c>
      <c r="O63" s="191" t="str">
        <f t="shared" si="6"/>
        <v>Παλλήνης</v>
      </c>
    </row>
    <row r="64" spans="1:15" x14ac:dyDescent="0.25">
      <c r="A64" s="19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1" t="s">
        <v>642</v>
      </c>
      <c r="G64" s="191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3">
        <f t="shared" si="1"/>
        <v>69</v>
      </c>
      <c r="L64" t="str">
        <f t="shared" si="2"/>
        <v>ΑΤΤΙΚΗΣ</v>
      </c>
      <c r="M64" t="str">
        <f t="shared" si="3"/>
        <v>ΑΤΤΙΚΗΣ - ΠΑΠΑΓΟΥ – ΧΟΛΑΡΓΟΥ</v>
      </c>
      <c r="N64" s="191">
        <f t="shared" si="4"/>
        <v>14394</v>
      </c>
      <c r="O64" s="191" t="str">
        <f t="shared" si="6"/>
        <v>Παπάγου - Χολαργού</v>
      </c>
    </row>
    <row r="65" spans="1:15" x14ac:dyDescent="0.25">
      <c r="A65" s="19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1" t="s">
        <v>643</v>
      </c>
      <c r="G65" s="191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3">
        <f t="shared" si="1"/>
        <v>70</v>
      </c>
      <c r="L65" t="str">
        <f t="shared" si="2"/>
        <v>ΑΤΤΙΚΗΣ</v>
      </c>
      <c r="M65" t="str">
        <f t="shared" si="3"/>
        <v>ΑΤΤΙΚΗΣ - ΠΕΙΡΑΙΩΣ</v>
      </c>
      <c r="N65" s="191">
        <f t="shared" si="4"/>
        <v>14402</v>
      </c>
      <c r="O65" s="191" t="str">
        <f t="shared" si="6"/>
        <v>Πειραιώς</v>
      </c>
    </row>
    <row r="66" spans="1:15" x14ac:dyDescent="0.25">
      <c r="A66" s="19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1" t="s">
        <v>644</v>
      </c>
      <c r="G66" s="191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3">
        <f t="shared" ref="K66:K129" si="8">SMALL(J:J,A66)</f>
        <v>71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ΠΕΝΤΕΛΗΣ</v>
      </c>
      <c r="N66" s="191">
        <f t="shared" si="4"/>
        <v>14404</v>
      </c>
      <c r="O66" s="191" t="str">
        <f t="shared" si="6"/>
        <v>Πεντέλης</v>
      </c>
    </row>
    <row r="67" spans="1:15" x14ac:dyDescent="0.25">
      <c r="A67" s="19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1" t="s">
        <v>645</v>
      </c>
      <c r="G67" s="191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3">
        <f t="shared" si="8"/>
        <v>72</v>
      </c>
      <c r="L67" t="str">
        <f t="shared" si="9"/>
        <v>ΑΤΤΙΚΗΣ</v>
      </c>
      <c r="M67" t="str">
        <f t="shared" si="10"/>
        <v>ΑΤΤΙΚΗΣ - ΠΕΡΑΜΑΤΟΣ</v>
      </c>
      <c r="N67" s="191">
        <f t="shared" ref="N67:N130" si="12">IF(ISNUMBER(K67),LOOKUP(K67,A:A,G:G),"")</f>
        <v>14370</v>
      </c>
      <c r="O67" s="191" t="str">
        <f t="shared" ref="O67:O130" si="13">IF(ISNUMBER(K67),LOOKUP(K67,A:A,F:F),"")</f>
        <v>Περάματος</v>
      </c>
    </row>
    <row r="68" spans="1:15" x14ac:dyDescent="0.25">
      <c r="A68" s="19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1" t="s">
        <v>646</v>
      </c>
      <c r="G68" s="191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3">
        <f t="shared" si="8"/>
        <v>73</v>
      </c>
      <c r="L68" t="str">
        <f t="shared" si="9"/>
        <v>ΑΤΤΙΚΗΣ</v>
      </c>
      <c r="M68" t="str">
        <f t="shared" si="10"/>
        <v>ΑΤΤΙΚΗΣ - ΠΕΡΙΣΤΕΡΙΟΥ</v>
      </c>
      <c r="N68" s="191">
        <f t="shared" si="12"/>
        <v>14406</v>
      </c>
      <c r="O68" s="191" t="str">
        <f t="shared" si="13"/>
        <v>Περιστερίου</v>
      </c>
    </row>
    <row r="69" spans="1:15" x14ac:dyDescent="0.25">
      <c r="A69" s="19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1" t="s">
        <v>647</v>
      </c>
      <c r="G69" s="191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3">
        <f t="shared" si="8"/>
        <v>74</v>
      </c>
      <c r="L69" t="str">
        <f t="shared" si="9"/>
        <v>ΑΤΤΙΚΗΣ</v>
      </c>
      <c r="M69" t="str">
        <f t="shared" si="10"/>
        <v>ΑΤΤΙΚΗΣ - ΠΕΤΡΟΥΠΟΛΕΩΣ</v>
      </c>
      <c r="N69" s="191">
        <f t="shared" si="12"/>
        <v>14408</v>
      </c>
      <c r="O69" s="191" t="str">
        <f t="shared" si="13"/>
        <v>Πετρούπολης</v>
      </c>
    </row>
    <row r="70" spans="1:15" x14ac:dyDescent="0.25">
      <c r="A70" s="19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1" t="s">
        <v>648</v>
      </c>
      <c r="G70" s="191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3">
        <f t="shared" si="8"/>
        <v>75</v>
      </c>
      <c r="L70" t="str">
        <f t="shared" si="9"/>
        <v>ΑΤΤΙΚΗΣ</v>
      </c>
      <c r="M70" t="str">
        <f t="shared" si="10"/>
        <v>ΑΤΤΙΚΗΣ - ΠΟΡΟΥ</v>
      </c>
      <c r="N70" s="191">
        <f t="shared" si="12"/>
        <v>14416</v>
      </c>
      <c r="O70" s="191" t="str">
        <f t="shared" si="13"/>
        <v>Πόρου</v>
      </c>
    </row>
    <row r="71" spans="1:15" x14ac:dyDescent="0.25">
      <c r="A71" s="19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1" t="s">
        <v>649</v>
      </c>
      <c r="G71" s="191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3">
        <f t="shared" si="8"/>
        <v>76</v>
      </c>
      <c r="L71" t="str">
        <f t="shared" si="9"/>
        <v>ΑΤΤΙΚΗΣ</v>
      </c>
      <c r="M71" t="str">
        <f t="shared" si="10"/>
        <v>ΑΤΤΙΚΗΣ - ΡΑΦΗΝΑΣ – ΠΙΚΕΡΜΙΟΥ</v>
      </c>
      <c r="N71" s="191">
        <f t="shared" si="12"/>
        <v>14380</v>
      </c>
      <c r="O71" s="191" t="str">
        <f t="shared" si="13"/>
        <v>Ραφήνας - Πικερμίου</v>
      </c>
    </row>
    <row r="72" spans="1:15" x14ac:dyDescent="0.25">
      <c r="A72" s="19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1" t="s">
        <v>650</v>
      </c>
      <c r="G72" s="191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3">
        <f t="shared" si="8"/>
        <v>77</v>
      </c>
      <c r="L72" t="str">
        <f t="shared" si="9"/>
        <v>ΑΤΤΙΚΗΣ</v>
      </c>
      <c r="M72" t="str">
        <f t="shared" si="10"/>
        <v>ΑΤΤΙΚΗΣ - ΣΑΛΑΜΙΝΟΣ</v>
      </c>
      <c r="N72" s="191">
        <f t="shared" si="12"/>
        <v>14430</v>
      </c>
      <c r="O72" s="191" t="str">
        <f t="shared" si="13"/>
        <v>Σαλαμίνας</v>
      </c>
    </row>
    <row r="73" spans="1:15" x14ac:dyDescent="0.25">
      <c r="A73" s="19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1" t="s">
        <v>651</v>
      </c>
      <c r="G73" s="191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3">
        <f t="shared" si="8"/>
        <v>78</v>
      </c>
      <c r="L73" t="str">
        <f t="shared" si="9"/>
        <v>ΑΤΤΙΚΗΣ</v>
      </c>
      <c r="M73" t="str">
        <f t="shared" si="10"/>
        <v>ΑΤΤΙΚΗΣ - ΣΑΡΩΝΙΚΟΥ</v>
      </c>
      <c r="N73" s="191">
        <f t="shared" si="12"/>
        <v>14448</v>
      </c>
      <c r="O73" s="191" t="str">
        <f t="shared" si="13"/>
        <v>Σαρωνικού</v>
      </c>
    </row>
    <row r="74" spans="1:15" x14ac:dyDescent="0.25">
      <c r="A74" s="19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1" t="s">
        <v>652</v>
      </c>
      <c r="G74" s="191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3">
        <f t="shared" si="8"/>
        <v>79</v>
      </c>
      <c r="L74" t="str">
        <f t="shared" si="9"/>
        <v>ΑΤΤΙΚΗΣ</v>
      </c>
      <c r="M74" t="str">
        <f t="shared" si="10"/>
        <v>ΑΤΤΙΚΗΣ - ΣΠΑΤΩΝ – ΑΡΤΕΜΙΔΟΣ</v>
      </c>
      <c r="N74" s="191">
        <f t="shared" si="12"/>
        <v>14480</v>
      </c>
      <c r="O74" s="191" t="str">
        <f t="shared" si="13"/>
        <v>Σπάτων - Αρτέμιδος</v>
      </c>
    </row>
    <row r="75" spans="1:15" x14ac:dyDescent="0.25">
      <c r="A75" s="19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1" t="s">
        <v>653</v>
      </c>
      <c r="G75" s="191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3">
        <f t="shared" si="8"/>
        <v>80</v>
      </c>
      <c r="L75" t="str">
        <f t="shared" si="9"/>
        <v>ΑΤΤΙΚΗΣ</v>
      </c>
      <c r="M75" t="str">
        <f t="shared" si="10"/>
        <v>ΑΤΤΙΚΗΣ - ΣΠΕΤΣΩΝ</v>
      </c>
      <c r="N75" s="191">
        <f t="shared" si="12"/>
        <v>14482</v>
      </c>
      <c r="O75" s="191" t="str">
        <f t="shared" si="13"/>
        <v>Σπετσών</v>
      </c>
    </row>
    <row r="76" spans="1:15" x14ac:dyDescent="0.25">
      <c r="A76" s="19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1" t="s">
        <v>654</v>
      </c>
      <c r="G76" s="191">
        <v>14416</v>
      </c>
      <c r="H76" t="str">
        <f>_xlfn.IFNA(INDEX(DimosNaiOxi,MATCH(ΤΚ!E76,DimosNai,0)),"")</f>
        <v>ΝΑΙ</v>
      </c>
      <c r="I76" t="str">
        <f>LOOKUP(B76,ΠΕΡΙΦΕΡΕΙΑ!$A$2:$A$14,ΠΕΡΙΦΕΡΕΙΑ!$B$2:$B$14)</f>
        <v>Μερική</v>
      </c>
      <c r="J76">
        <f t="shared" si="11"/>
        <v>75</v>
      </c>
      <c r="K76" s="193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1">
        <f t="shared" si="12"/>
        <v>14514</v>
      </c>
      <c r="O76" s="191" t="str">
        <f t="shared" si="13"/>
        <v>Φιλαδελφείας - Χαλκηδόνος</v>
      </c>
    </row>
    <row r="77" spans="1:15" x14ac:dyDescent="0.25">
      <c r="A77" s="19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1" t="s">
        <v>655</v>
      </c>
      <c r="G77" s="191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3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1">
        <f t="shared" si="12"/>
        <v>14518</v>
      </c>
      <c r="O77" s="191" t="str">
        <f t="shared" si="13"/>
        <v>Φιλοθέης - Ψυχικού</v>
      </c>
    </row>
    <row r="78" spans="1:15" x14ac:dyDescent="0.25">
      <c r="A78" s="19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1" t="s">
        <v>656</v>
      </c>
      <c r="G78" s="191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3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1">
        <f t="shared" si="12"/>
        <v>14528</v>
      </c>
      <c r="O78" s="191" t="str">
        <f t="shared" si="13"/>
        <v>Φυλής</v>
      </c>
    </row>
    <row r="79" spans="1:15" x14ac:dyDescent="0.25">
      <c r="A79" s="19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1" t="s">
        <v>657</v>
      </c>
      <c r="G79" s="191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3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1">
        <f t="shared" si="12"/>
        <v>14526</v>
      </c>
      <c r="O79" s="191" t="str">
        <f t="shared" si="13"/>
        <v>Χαϊδαρίου</v>
      </c>
    </row>
    <row r="80" spans="1:15" x14ac:dyDescent="0.25">
      <c r="A80" s="19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1" t="s">
        <v>658</v>
      </c>
      <c r="G80" s="191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3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1">
        <f t="shared" si="12"/>
        <v>14530</v>
      </c>
      <c r="O80" s="191" t="str">
        <f t="shared" si="13"/>
        <v>Χαλανδρίου</v>
      </c>
    </row>
    <row r="81" spans="1:15" x14ac:dyDescent="0.25">
      <c r="A81" s="19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1" t="s">
        <v>659</v>
      </c>
      <c r="G81" s="191">
        <v>14482</v>
      </c>
      <c r="H81" t="str">
        <f>_xlfn.IFNA(INDEX(DimosNaiOxi,MATCH(ΤΚ!E81,DimosNai,0)),"")</f>
        <v>ΝΑΙ</v>
      </c>
      <c r="I81" t="str">
        <f>LOOKUP(B81,ΠΕΡΙΦΕΡΕΙΑ!$A$2:$A$14,ΠΕΡΙΦΕΡΕΙΑ!$B$2:$B$14)</f>
        <v>Μερική</v>
      </c>
      <c r="J81">
        <f t="shared" si="11"/>
        <v>80</v>
      </c>
      <c r="K81" s="193">
        <f t="shared" si="8"/>
        <v>88</v>
      </c>
      <c r="L81" t="str">
        <f t="shared" si="9"/>
        <v>ΑΤΤΙΚΗΣ</v>
      </c>
      <c r="M81" t="str">
        <f t="shared" si="10"/>
        <v>ΑΤΤΙΚΗΣ - ΩΡΩΠΟΥ</v>
      </c>
      <c r="N81" s="191">
        <f t="shared" si="12"/>
        <v>14548</v>
      </c>
      <c r="O81" s="191" t="str">
        <f t="shared" si="13"/>
        <v>Ωρωπού</v>
      </c>
    </row>
    <row r="82" spans="1:15" x14ac:dyDescent="0.25">
      <c r="A82" s="19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1" t="s">
        <v>660</v>
      </c>
      <c r="G82" s="191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3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1">
        <f t="shared" si="12"/>
        <v>14256</v>
      </c>
      <c r="O82" s="191" t="str">
        <f t="shared" si="13"/>
        <v>Λέσβου</v>
      </c>
    </row>
    <row r="83" spans="1:15" x14ac:dyDescent="0.25">
      <c r="A83" s="19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1" t="s">
        <v>661</v>
      </c>
      <c r="G83" s="191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3">
        <f t="shared" si="8"/>
        <v>94</v>
      </c>
      <c r="L83" t="str">
        <f t="shared" si="9"/>
        <v>ΒΟΡΕΙΟΥ ΑΙΓΑΙΟΥ</v>
      </c>
      <c r="M83" t="str">
        <f t="shared" si="10"/>
        <v>ΒΟΡΕΙΟΥ ΑΙΓΑΙΟΥ - ΣΑΜΟΥ</v>
      </c>
      <c r="N83" s="191">
        <f t="shared" si="12"/>
        <v>14446</v>
      </c>
      <c r="O83" s="191" t="str">
        <f t="shared" si="13"/>
        <v>Σάμου</v>
      </c>
    </row>
    <row r="84" spans="1:15" x14ac:dyDescent="0.25">
      <c r="A84" s="19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1" t="s">
        <v>662</v>
      </c>
      <c r="G84" s="191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3">
        <f t="shared" si="8"/>
        <v>96</v>
      </c>
      <c r="L84" t="str">
        <f t="shared" si="9"/>
        <v>ΒΟΡΕΙΟΥ ΑΙΓΑΙΟΥ</v>
      </c>
      <c r="M84" t="str">
        <f t="shared" si="10"/>
        <v>ΒΟΡΕΙΟΥ ΑΙΓΑΙΟΥ - ΧΙΟΥ</v>
      </c>
      <c r="N84" s="191">
        <f t="shared" si="12"/>
        <v>14542</v>
      </c>
      <c r="O84" s="191" t="str">
        <f t="shared" si="13"/>
        <v>Χίου</v>
      </c>
    </row>
    <row r="85" spans="1:15" x14ac:dyDescent="0.25">
      <c r="A85" s="19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1" t="s">
        <v>663</v>
      </c>
      <c r="G85" s="191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3">
        <f t="shared" si="8"/>
        <v>98</v>
      </c>
      <c r="L85" t="str">
        <f t="shared" si="9"/>
        <v>ΔΥΤΙΚΗΣ ΕΛΛΑΔΑΣ</v>
      </c>
      <c r="M85" t="str">
        <f t="shared" si="10"/>
        <v>ΔΥΤΙΚΗΣ ΕΛΛΑΔΑΣ - ΑΓΡΙΝΙΟΥ</v>
      </c>
      <c r="N85" s="191">
        <f t="shared" si="12"/>
        <v>13942</v>
      </c>
      <c r="O85" s="191" t="str">
        <f t="shared" si="13"/>
        <v>Αγρινίου</v>
      </c>
    </row>
    <row r="86" spans="1:15" x14ac:dyDescent="0.25">
      <c r="A86" s="19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1" t="s">
        <v>664</v>
      </c>
      <c r="G86" s="191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3">
        <f t="shared" si="8"/>
        <v>99</v>
      </c>
      <c r="L86" t="str">
        <f t="shared" si="9"/>
        <v>ΔΥΤΙΚΗΣ ΕΛΛΑΔΑΣ</v>
      </c>
      <c r="M86" t="str">
        <f t="shared" si="10"/>
        <v>ΔΥΤΙΚΗΣ ΕΛΛΑΔΑΣ - ΑΙΓΙΑΛΕΙΑΣ</v>
      </c>
      <c r="N86" s="191">
        <f t="shared" si="12"/>
        <v>13904</v>
      </c>
      <c r="O86" s="191" t="str">
        <f t="shared" si="13"/>
        <v>Αιγιαλείας</v>
      </c>
    </row>
    <row r="87" spans="1:15" x14ac:dyDescent="0.25">
      <c r="A87" s="19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1" t="s">
        <v>665</v>
      </c>
      <c r="G87" s="191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3">
        <f t="shared" si="8"/>
        <v>100</v>
      </c>
      <c r="L87" t="str">
        <f t="shared" si="9"/>
        <v>ΔΥΤΙΚΗΣ ΕΛΛΑΔΑΣ</v>
      </c>
      <c r="M87" t="str">
        <f t="shared" si="10"/>
        <v>ΔΥΤΙΚΗΣ ΕΛΛΑΔΑΣ - ΑΚΤΙΟΥ – ΒΟΝΙΤΣΑΣ</v>
      </c>
      <c r="N87" s="191">
        <f t="shared" si="12"/>
        <v>13950</v>
      </c>
      <c r="O87" s="191" t="str">
        <f t="shared" si="13"/>
        <v>Άκτιου - Βόνιτσας</v>
      </c>
    </row>
    <row r="88" spans="1:15" x14ac:dyDescent="0.25">
      <c r="A88" s="19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1" t="s">
        <v>666</v>
      </c>
      <c r="G88" s="191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3">
        <f t="shared" si="8"/>
        <v>101</v>
      </c>
      <c r="L88" t="str">
        <f t="shared" si="9"/>
        <v>ΔΥΤΙΚΗΣ ΕΛΛΑΔΑΣ</v>
      </c>
      <c r="M88" t="str">
        <f t="shared" si="10"/>
        <v>ΔΥΤΙΚΗΣ ΕΛΛΑΔΑΣ - ΑΜΦΙΛΟΧΙΑΣ</v>
      </c>
      <c r="N88" s="191">
        <f t="shared" si="12"/>
        <v>13974</v>
      </c>
      <c r="O88" s="191" t="str">
        <f t="shared" si="13"/>
        <v>Αμφιλοχίας</v>
      </c>
    </row>
    <row r="89" spans="1:15" x14ac:dyDescent="0.25">
      <c r="A89" s="19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1" t="s">
        <v>667</v>
      </c>
      <c r="G89" s="191">
        <v>14548</v>
      </c>
      <c r="H89" t="str">
        <f>_xlfn.IFNA(INDEX(DimosNaiOxi,MATCH(ΤΚ!E89,DimosNai,0)),"")</f>
        <v>ΝΑΙ</v>
      </c>
      <c r="I89" t="str">
        <f>LOOKUP(B89,ΠΕΡΙΦΕΡΕΙΑ!$A$2:$A$14,ΠΕΡΙΦΕΡΕΙΑ!$B$2:$B$14)</f>
        <v>Μερική</v>
      </c>
      <c r="J89">
        <f t="shared" si="11"/>
        <v>88</v>
      </c>
      <c r="K89" s="193">
        <f t="shared" si="8"/>
        <v>102</v>
      </c>
      <c r="L89" t="str">
        <f t="shared" si="9"/>
        <v>ΔΥΤΙΚΗΣ ΕΛΛΑΔΑΣ</v>
      </c>
      <c r="M89" t="str">
        <f t="shared" si="10"/>
        <v>ΔΥΤΙΚΗΣ ΕΛΛΑΔΑΣ - ΑΝΔΡΑΒΙΔΑΣ – ΚΥΛΛΗΝΗΣ</v>
      </c>
      <c r="N89" s="191">
        <f t="shared" si="12"/>
        <v>13984</v>
      </c>
      <c r="O89" s="191" t="str">
        <f t="shared" si="13"/>
        <v>Ανδραβίδας - Κυλλήνης</v>
      </c>
    </row>
    <row r="90" spans="1:15" x14ac:dyDescent="0.25">
      <c r="A90" s="19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1" t="s">
        <v>668</v>
      </c>
      <c r="G90" s="19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3">
        <f t="shared" si="8"/>
        <v>103</v>
      </c>
      <c r="L90" t="str">
        <f t="shared" si="9"/>
        <v>ΔΥΤΙΚΗΣ ΕΛΛΑΔΑΣ</v>
      </c>
      <c r="M90" t="str">
        <f t="shared" si="10"/>
        <v>ΔΥΤΙΚΗΣ ΕΛΛΑΔΑΣ - ΑΝΔΡΙΤΣΑΙΝΑΣ – ΚΡΕΣΤΕΝΩΝ</v>
      </c>
      <c r="N90" s="191">
        <f t="shared" si="12"/>
        <v>13982</v>
      </c>
      <c r="O90" s="191" t="str">
        <f t="shared" si="13"/>
        <v>Ανδρίτσαινας - Κρεστένων</v>
      </c>
    </row>
    <row r="91" spans="1:15" x14ac:dyDescent="0.25">
      <c r="A91" s="19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1" t="s">
        <v>669</v>
      </c>
      <c r="G91" s="19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193">
        <f t="shared" si="8"/>
        <v>104</v>
      </c>
      <c r="L91" t="str">
        <f t="shared" si="9"/>
        <v>ΔΥΤΙΚΗΣ ΕΛΛΑΔΑΣ</v>
      </c>
      <c r="M91" t="str">
        <f t="shared" si="10"/>
        <v>ΔΥΤΙΚΗΣ ΕΛΛΑΔΑΣ - ΑΡΧΑΙΑΣ ΟΛΥΜΠΙΑΣ</v>
      </c>
      <c r="N91" s="191">
        <f t="shared" si="12"/>
        <v>14000</v>
      </c>
      <c r="O91" s="191" t="str">
        <f t="shared" si="13"/>
        <v>Αρχαίας Ολυμπίας</v>
      </c>
    </row>
    <row r="92" spans="1:15" x14ac:dyDescent="0.25">
      <c r="A92" s="19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1" t="s">
        <v>670</v>
      </c>
      <c r="G92" s="191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3">
        <f t="shared" si="8"/>
        <v>105</v>
      </c>
      <c r="L92" t="str">
        <f t="shared" si="9"/>
        <v>ΔΥΤΙΚΗΣ ΕΛΛΑΔΑΣ</v>
      </c>
      <c r="M92" t="str">
        <f t="shared" si="10"/>
        <v>ΔΥΤΙΚΗΣ ΕΛΛΑΔΑΣ - ΔΥΤΙΚΗΣ ΑΧΑΪΑΣ</v>
      </c>
      <c r="N92" s="191">
        <f t="shared" si="12"/>
        <v>14072</v>
      </c>
      <c r="O92" s="191" t="str">
        <f t="shared" si="13"/>
        <v>Δυτικής Αχαΐας</v>
      </c>
    </row>
    <row r="93" spans="1:15" x14ac:dyDescent="0.25">
      <c r="A93" s="19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1" t="s">
        <v>671</v>
      </c>
      <c r="G93" s="191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Μερική</v>
      </c>
      <c r="J93" t="str">
        <f t="shared" si="11"/>
        <v/>
      </c>
      <c r="K93" s="193">
        <f t="shared" si="8"/>
        <v>106</v>
      </c>
      <c r="L93" t="str">
        <f t="shared" si="9"/>
        <v>ΔΥΤΙΚΗΣ ΕΛΛΑΔΑΣ</v>
      </c>
      <c r="M93" t="str">
        <f t="shared" si="10"/>
        <v>ΔΥΤΙΚΗΣ ΕΛΛΑΔΑΣ - ΕΡΥΜΑΝΘΟΥ</v>
      </c>
      <c r="N93" s="191">
        <f t="shared" si="12"/>
        <v>14098</v>
      </c>
      <c r="O93" s="191" t="str">
        <f t="shared" si="13"/>
        <v>Ερυμάνθου</v>
      </c>
    </row>
    <row r="94" spans="1:15" x14ac:dyDescent="0.25">
      <c r="A94" s="19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1" t="s">
        <v>672</v>
      </c>
      <c r="G94" s="19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3">
        <f t="shared" si="8"/>
        <v>107</v>
      </c>
      <c r="L94" t="str">
        <f t="shared" si="9"/>
        <v>ΔΥΤΙΚΗΣ ΕΛΛΑΔΑΣ</v>
      </c>
      <c r="M94" t="str">
        <f t="shared" si="10"/>
        <v>ΔΥΤΙΚΗΣ ΕΛΛΑΔΑΣ - ΖΑΧΑΡΩΣ</v>
      </c>
      <c r="N94" s="191">
        <f t="shared" si="12"/>
        <v>14110</v>
      </c>
      <c r="O94" s="191" t="str">
        <f t="shared" si="13"/>
        <v>Ζαχάρως</v>
      </c>
    </row>
    <row r="95" spans="1:15" x14ac:dyDescent="0.25">
      <c r="A95" s="19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1" t="s">
        <v>673</v>
      </c>
      <c r="G95" s="191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3">
        <f t="shared" si="8"/>
        <v>108</v>
      </c>
      <c r="L95" t="str">
        <f t="shared" si="9"/>
        <v>ΔΥΤΙΚΗΣ ΕΛΛΑΔΑΣ</v>
      </c>
      <c r="M95" t="str">
        <f t="shared" si="10"/>
        <v>ΔΥΤΙΚΗΣ ΕΛΛΑΔΑΣ - ΗΛΙΔΑΣ</v>
      </c>
      <c r="N95" s="191">
        <f t="shared" si="12"/>
        <v>14118</v>
      </c>
      <c r="O95" s="191" t="str">
        <f t="shared" si="13"/>
        <v>Ήλιδας</v>
      </c>
    </row>
    <row r="96" spans="1:15" x14ac:dyDescent="0.25">
      <c r="A96" s="19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1" t="s">
        <v>674</v>
      </c>
      <c r="G96" s="19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3">
        <f t="shared" si="8"/>
        <v>109</v>
      </c>
      <c r="L96" t="str">
        <f t="shared" si="9"/>
        <v>ΔΥΤΙΚΗΣ ΕΛΛΑΔΑΣ</v>
      </c>
      <c r="M96" t="str">
        <f t="shared" si="10"/>
        <v>ΔΥΤΙΚΗΣ ΕΛΛΑΔΑΣ - ΘΕΡΜΟΥ</v>
      </c>
      <c r="N96" s="191">
        <f t="shared" si="12"/>
        <v>14136</v>
      </c>
      <c r="O96" s="191" t="str">
        <f t="shared" si="13"/>
        <v>Θέρμου</v>
      </c>
    </row>
    <row r="97" spans="1:15" x14ac:dyDescent="0.25">
      <c r="A97" s="19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1" t="s">
        <v>675</v>
      </c>
      <c r="G97" s="191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3">
        <f t="shared" si="8"/>
        <v>110</v>
      </c>
      <c r="L97" t="str">
        <f t="shared" si="9"/>
        <v>ΔΥΤΙΚΗΣ ΕΛΛΑΔΑΣ</v>
      </c>
      <c r="M97" t="str">
        <f t="shared" si="10"/>
        <v>ΔΥΤΙΚΗΣ ΕΛΛΑΔΑΣ - ΙΕΡΑΣ ΠΟΛΗΣ ΜΕΣΟΛΟΓΓΙΟΥ</v>
      </c>
      <c r="N97" s="191">
        <f t="shared" si="12"/>
        <v>14142</v>
      </c>
      <c r="O97" s="191" t="str">
        <f t="shared" si="13"/>
        <v>Ιεράς Πόλης Μεσολογγίου</v>
      </c>
    </row>
    <row r="98" spans="1:15" x14ac:dyDescent="0.25">
      <c r="A98" s="19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1" t="s">
        <v>676</v>
      </c>
      <c r="G98" s="19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3">
        <f t="shared" si="8"/>
        <v>111</v>
      </c>
      <c r="L98" t="str">
        <f t="shared" si="9"/>
        <v>ΔΥΤΙΚΗΣ ΕΛΛΑΔΑΣ</v>
      </c>
      <c r="M98" t="str">
        <f t="shared" si="10"/>
        <v>ΔΥΤΙΚΗΣ ΕΛΛΑΔΑΣ - ΚΑΛΑΒΡΥΤΩΝ</v>
      </c>
      <c r="N98" s="191">
        <f t="shared" si="12"/>
        <v>14174</v>
      </c>
      <c r="O98" s="191" t="str">
        <f t="shared" si="13"/>
        <v>Καλαβρύτων</v>
      </c>
    </row>
    <row r="99" spans="1:15" x14ac:dyDescent="0.25">
      <c r="A99" s="19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1" t="s">
        <v>677</v>
      </c>
      <c r="G99" s="191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3">
        <f t="shared" si="8"/>
        <v>112</v>
      </c>
      <c r="L99" t="str">
        <f t="shared" si="9"/>
        <v>ΔΥΤΙΚΗΣ ΕΛΛΑΔΑΣ</v>
      </c>
      <c r="M99" t="str">
        <f t="shared" si="10"/>
        <v>ΔΥΤΙΚΗΣ ΕΛΛΑΔΑΣ - ΝΑΥΠΑΚΤΙΑΣ</v>
      </c>
      <c r="N99" s="191">
        <f t="shared" si="12"/>
        <v>14312</v>
      </c>
      <c r="O99" s="191" t="str">
        <f t="shared" si="13"/>
        <v>Ναυπακτίας</v>
      </c>
    </row>
    <row r="100" spans="1:15" x14ac:dyDescent="0.25">
      <c r="A100" s="19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1" t="s">
        <v>678</v>
      </c>
      <c r="G100" s="191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3">
        <f t="shared" si="8"/>
        <v>114</v>
      </c>
      <c r="L100" t="str">
        <f t="shared" si="9"/>
        <v>ΔΥΤΙΚΗΣ ΕΛΛΑΔΑΣ</v>
      </c>
      <c r="M100" t="str">
        <f t="shared" si="10"/>
        <v>ΔΥΤΙΚΗΣ ΕΛΛΑΔΑΣ - ΠΑΤΡΕΩΝ</v>
      </c>
      <c r="N100" s="191">
        <f t="shared" si="12"/>
        <v>14366</v>
      </c>
      <c r="O100" s="191" t="str">
        <f t="shared" si="13"/>
        <v>Πατρέων</v>
      </c>
    </row>
    <row r="101" spans="1:15" x14ac:dyDescent="0.25">
      <c r="A101" s="19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1" t="s">
        <v>679</v>
      </c>
      <c r="G101" s="191">
        <v>13950</v>
      </c>
      <c r="H101" t="str">
        <f>_xlfn.IFNA(INDEX(DimosNaiOxi,MATCH(ΤΚ!E101,DimosNai,0)),"")</f>
        <v>ΝΑΙ</v>
      </c>
      <c r="I101" t="str">
        <f>LOOKUP(B101,ΠΕΡΙΦΕΡΕΙΑ!$A$2:$A$14,ΠΕΡΙΦΕΡΕΙΑ!$B$2:$B$14)</f>
        <v>Μερική</v>
      </c>
      <c r="J101">
        <f t="shared" si="11"/>
        <v>100</v>
      </c>
      <c r="K101" s="193">
        <f t="shared" si="8"/>
        <v>115</v>
      </c>
      <c r="L101" t="str">
        <f t="shared" si="9"/>
        <v>ΔΥΤΙΚΗΣ ΕΛΛΑΔΑΣ</v>
      </c>
      <c r="M101" t="str">
        <f t="shared" si="10"/>
        <v>ΔΥΤΙΚΗΣ ΕΛΛΑΔΑΣ - ΠΗΝΕΙΟΥ</v>
      </c>
      <c r="N101" s="191">
        <f t="shared" si="12"/>
        <v>14410</v>
      </c>
      <c r="O101" s="191" t="str">
        <f t="shared" si="13"/>
        <v>Πηνειού</v>
      </c>
    </row>
    <row r="102" spans="1:15" x14ac:dyDescent="0.25">
      <c r="A102" s="19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1" t="s">
        <v>680</v>
      </c>
      <c r="G102" s="191">
        <v>13974</v>
      </c>
      <c r="H102" t="str">
        <f>_xlfn.IFNA(INDEX(DimosNaiOxi,MATCH(ΤΚ!E102,DimosNai,0)),"")</f>
        <v>ΝΑΙ</v>
      </c>
      <c r="I102" t="str">
        <f>LOOKUP(B102,ΠΕΡΙΦΕΡΕΙΑ!$A$2:$A$14,ΠΕΡΙΦΕΡΕΙΑ!$B$2:$B$14)</f>
        <v>Μερική</v>
      </c>
      <c r="J102">
        <f t="shared" si="11"/>
        <v>101</v>
      </c>
      <c r="K102" s="193">
        <f t="shared" si="8"/>
        <v>116</v>
      </c>
      <c r="L102" t="str">
        <f t="shared" si="9"/>
        <v>ΔΥΤΙΚΗΣ ΕΛΛΑΔΑΣ</v>
      </c>
      <c r="M102" t="str">
        <f t="shared" si="10"/>
        <v>ΔΥΤΙΚΗΣ ΕΛΛΑΔΑΣ - ΠΥΡΓΟΥ</v>
      </c>
      <c r="N102" s="191">
        <f t="shared" si="12"/>
        <v>14376</v>
      </c>
      <c r="O102" s="191" t="str">
        <f t="shared" si="13"/>
        <v>Πύργου</v>
      </c>
    </row>
    <row r="103" spans="1:15" x14ac:dyDescent="0.25">
      <c r="A103" s="19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1" t="s">
        <v>681</v>
      </c>
      <c r="G103" s="191">
        <v>13984</v>
      </c>
      <c r="H103" t="str">
        <f>_xlfn.IFNA(INDEX(DimosNaiOxi,MATCH(ΤΚ!E103,DimosNai,0)),"")</f>
        <v>ΝΑΙ</v>
      </c>
      <c r="I103" t="str">
        <f>LOOKUP(B103,ΠΕΡΙΦΕΡΕΙΑ!$A$2:$A$14,ΠΕΡΙΦΕΡΕΙΑ!$B$2:$B$14)</f>
        <v>Μερική</v>
      </c>
      <c r="J103">
        <f t="shared" si="11"/>
        <v>102</v>
      </c>
      <c r="K103" s="193">
        <f t="shared" si="8"/>
        <v>117</v>
      </c>
      <c r="L103" t="str">
        <f t="shared" si="9"/>
        <v>ΔΥΤΙΚΗΣ ΜΑΚΕΔΟΝΙΑΣ</v>
      </c>
      <c r="M103" t="str">
        <f t="shared" si="10"/>
        <v>ΔΥΤΙΚΗΣ ΜΑΚΕΔΟΝΙΑΣ - ΑΜΥΝΤΑΙΟΥ</v>
      </c>
      <c r="N103" s="191">
        <f t="shared" si="12"/>
        <v>13970</v>
      </c>
      <c r="O103" s="191" t="str">
        <f t="shared" si="13"/>
        <v>Αμυνταίου</v>
      </c>
    </row>
    <row r="104" spans="1:15" x14ac:dyDescent="0.25">
      <c r="A104" s="19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1" t="s">
        <v>682</v>
      </c>
      <c r="G104" s="191">
        <v>13982</v>
      </c>
      <c r="H104" t="str">
        <f>_xlfn.IFNA(INDEX(DimosNaiOxi,MATCH(ΤΚ!E104,DimosNai,0)),"")</f>
        <v>ΝΑΙ</v>
      </c>
      <c r="I104" t="str">
        <f>LOOKUP(B104,ΠΕΡΙΦΕΡΕΙΑ!$A$2:$A$14,ΠΕΡΙΦΕΡΕΙΑ!$B$2:$B$14)</f>
        <v>Μερική</v>
      </c>
      <c r="J104">
        <f t="shared" si="11"/>
        <v>103</v>
      </c>
      <c r="K104" s="193">
        <f t="shared" si="8"/>
        <v>118</v>
      </c>
      <c r="L104" t="str">
        <f t="shared" si="9"/>
        <v>ΔΥΤΙΚΗΣ ΜΑΚΕΔΟΝΙΑΣ</v>
      </c>
      <c r="M104" t="str">
        <f t="shared" si="10"/>
        <v>ΔΥΤΙΚΗΣ ΜΑΚΕΔΟΝΙΑΣ - ΒΟΪΟΥ</v>
      </c>
      <c r="N104" s="191">
        <f t="shared" si="12"/>
        <v>14028</v>
      </c>
      <c r="O104" s="191" t="str">
        <f t="shared" si="13"/>
        <v>Βοϊου</v>
      </c>
    </row>
    <row r="105" spans="1:15" x14ac:dyDescent="0.25">
      <c r="A105" s="19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1" t="s">
        <v>683</v>
      </c>
      <c r="G105" s="191">
        <v>14000</v>
      </c>
      <c r="H105" t="str">
        <f>_xlfn.IFNA(INDEX(DimosNaiOxi,MATCH(ΤΚ!E105,DimosNai,0)),"")</f>
        <v>ΝΑΙ</v>
      </c>
      <c r="I105" t="str">
        <f>LOOKUP(B105,ΠΕΡΙΦΕΡΕΙΑ!$A$2:$A$14,ΠΕΡΙΦΕΡΕΙΑ!$B$2:$B$14)</f>
        <v>Μερική</v>
      </c>
      <c r="J105">
        <f t="shared" si="11"/>
        <v>104</v>
      </c>
      <c r="K105" s="193">
        <f t="shared" si="8"/>
        <v>119</v>
      </c>
      <c r="L105" t="str">
        <f t="shared" si="9"/>
        <v>ΔΥΤΙΚΗΣ ΜΑΚΕΔΟΝΙΑΣ</v>
      </c>
      <c r="M105" t="str">
        <f t="shared" si="10"/>
        <v>ΔΥΤΙΚΗΣ ΜΑΚΕΔΟΝΙΑΣ - ΓΡΕΒΕΝΩΝ</v>
      </c>
      <c r="N105" s="191">
        <f t="shared" si="12"/>
        <v>14038</v>
      </c>
      <c r="O105" s="191" t="str">
        <f t="shared" si="13"/>
        <v>Γρεβενών</v>
      </c>
    </row>
    <row r="106" spans="1:15" x14ac:dyDescent="0.25">
      <c r="A106" s="19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1" t="s">
        <v>684</v>
      </c>
      <c r="G106" s="191">
        <v>14072</v>
      </c>
      <c r="H106" t="str">
        <f>_xlfn.IFNA(INDEX(DimosNaiOxi,MATCH(ΤΚ!E106,DimosNai,0)),"")</f>
        <v>ΝΑΙ</v>
      </c>
      <c r="I106" t="str">
        <f>LOOKUP(B106,ΠΕΡΙΦΕΡΕΙΑ!$A$2:$A$14,ΠΕΡΙΦΕΡΕΙΑ!$B$2:$B$14)</f>
        <v>Μερική</v>
      </c>
      <c r="J106">
        <f t="shared" si="11"/>
        <v>105</v>
      </c>
      <c r="K106" s="193">
        <f t="shared" si="8"/>
        <v>121</v>
      </c>
      <c r="L106" t="str">
        <f t="shared" si="9"/>
        <v>ΔΥΤΙΚΗΣ ΜΑΚΕΔΟΝΙΑΣ</v>
      </c>
      <c r="M106" t="str">
        <f t="shared" si="10"/>
        <v>ΔΥΤΙΚΗΣ ΜΑΚΕΔΟΝΙΑΣ - ΕΟΡΔΑΙΑΣ</v>
      </c>
      <c r="N106" s="191">
        <f t="shared" si="12"/>
        <v>14090</v>
      </c>
      <c r="O106" s="191" t="str">
        <f t="shared" si="13"/>
        <v>Εορδαίας</v>
      </c>
    </row>
    <row r="107" spans="1:15" x14ac:dyDescent="0.25">
      <c r="A107" s="19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1" t="s">
        <v>685</v>
      </c>
      <c r="G107" s="191">
        <v>14098</v>
      </c>
      <c r="H107" t="str">
        <f>_xlfn.IFNA(INDEX(DimosNaiOxi,MATCH(ΤΚ!E107,DimosNai,0)),"")</f>
        <v>ΝΑΙ</v>
      </c>
      <c r="I107" t="str">
        <f>LOOKUP(B107,ΠΕΡΙΦΕΡΕΙΑ!$A$2:$A$14,ΠΕΡΙΦΕΡΕΙΑ!$B$2:$B$14)</f>
        <v>Μερική</v>
      </c>
      <c r="J107">
        <f t="shared" si="11"/>
        <v>106</v>
      </c>
      <c r="K107" s="193">
        <f t="shared" si="8"/>
        <v>122</v>
      </c>
      <c r="L107" t="str">
        <f t="shared" si="9"/>
        <v>ΔΥΤΙΚΗΣ ΜΑΚΕΔΟΝΙΑΣ</v>
      </c>
      <c r="M107" t="str">
        <f t="shared" si="10"/>
        <v>ΔΥΤΙΚΗΣ ΜΑΚΕΔΟΝΙΑΣ - ΚΑΣΤΟΡΙΑΣ</v>
      </c>
      <c r="N107" s="191">
        <f t="shared" si="12"/>
        <v>14160</v>
      </c>
      <c r="O107" s="191" t="str">
        <f t="shared" si="13"/>
        <v>Καστοριάς</v>
      </c>
    </row>
    <row r="108" spans="1:15" x14ac:dyDescent="0.25">
      <c r="A108" s="19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1" t="s">
        <v>686</v>
      </c>
      <c r="G108" s="191">
        <v>14110</v>
      </c>
      <c r="H108" t="str">
        <f>_xlfn.IFNA(INDEX(DimosNaiOxi,MATCH(ΤΚ!E108,DimosNai,0)),"")</f>
        <v>ΝΑΙ</v>
      </c>
      <c r="I108" t="str">
        <f>LOOKUP(B108,ΠΕΡΙΦΕΡΕΙΑ!$A$2:$A$14,ΠΕΡΙΦΕΡΕΙΑ!$B$2:$B$14)</f>
        <v>Μερική</v>
      </c>
      <c r="J108">
        <f t="shared" si="11"/>
        <v>107</v>
      </c>
      <c r="K108" s="193">
        <f t="shared" si="8"/>
        <v>123</v>
      </c>
      <c r="L108" t="str">
        <f t="shared" si="9"/>
        <v>ΔΥΤΙΚΗΣ ΜΑΚΕΔΟΝΙΑΣ</v>
      </c>
      <c r="M108" t="str">
        <f t="shared" si="10"/>
        <v>ΔΥΤΙΚΗΣ ΜΑΚΕΔΟΝΙΑΣ - ΚΟΖΑΝΗΣ</v>
      </c>
      <c r="N108" s="191">
        <f t="shared" si="12"/>
        <v>14218</v>
      </c>
      <c r="O108" s="191" t="str">
        <f t="shared" si="13"/>
        <v>Κοζάνης</v>
      </c>
    </row>
    <row r="109" spans="1:15" x14ac:dyDescent="0.25">
      <c r="A109" s="19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1" t="s">
        <v>687</v>
      </c>
      <c r="G109" s="191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3">
        <f t="shared" si="8"/>
        <v>125</v>
      </c>
      <c r="L109" t="str">
        <f t="shared" si="9"/>
        <v>ΔΥΤΙΚΗΣ ΜΑΚΕΔΟΝΙΑΣ</v>
      </c>
      <c r="M109" t="str">
        <f t="shared" si="10"/>
        <v>ΔΥΤΙΚΗΣ ΜΑΚΕΔΟΝΙΑΣ - ΟΡΕΣΤΙΔΟΣ</v>
      </c>
      <c r="N109" s="191">
        <f t="shared" si="12"/>
        <v>14354</v>
      </c>
      <c r="O109" s="191" t="str">
        <f t="shared" si="13"/>
        <v>Ορεστίδος</v>
      </c>
    </row>
    <row r="110" spans="1:15" x14ac:dyDescent="0.25">
      <c r="A110" s="19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1" t="s">
        <v>688</v>
      </c>
      <c r="G110" s="191">
        <v>14136</v>
      </c>
      <c r="H110" t="str">
        <f>_xlfn.IFNA(INDEX(DimosNaiOxi,MATCH(ΤΚ!E110,DimosNai,0)),"")</f>
        <v>ΝΑΙ</v>
      </c>
      <c r="I110" t="str">
        <f>LOOKUP(B110,ΠΕΡΙΦΕΡΕΙΑ!$A$2:$A$14,ΠΕΡΙΦΕΡΕΙΑ!$B$2:$B$14)</f>
        <v>Μερική</v>
      </c>
      <c r="J110">
        <f t="shared" si="11"/>
        <v>109</v>
      </c>
      <c r="K110" s="193">
        <f t="shared" si="8"/>
        <v>126</v>
      </c>
      <c r="L110" t="str">
        <f t="shared" si="9"/>
        <v>ΔΥΤΙΚΗΣ ΜΑΚΕΔΟΝΙΑΣ</v>
      </c>
      <c r="M110" t="str">
        <f t="shared" si="10"/>
        <v>ΔΥΤΙΚΗΣ ΜΑΚΕΔΟΝΙΑΣ - ΠΡΕΣΠΩΝ</v>
      </c>
      <c r="N110" s="191">
        <f t="shared" si="12"/>
        <v>14372</v>
      </c>
      <c r="O110" s="191" t="str">
        <f t="shared" si="13"/>
        <v>Πρεσπών</v>
      </c>
    </row>
    <row r="111" spans="1:15" x14ac:dyDescent="0.25">
      <c r="A111" s="19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1" t="s">
        <v>689</v>
      </c>
      <c r="G111" s="191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193">
        <f t="shared" si="8"/>
        <v>127</v>
      </c>
      <c r="L111" t="str">
        <f t="shared" si="9"/>
        <v>ΔΥΤΙΚΗΣ ΜΑΚΕΔΟΝΙΑΣ</v>
      </c>
      <c r="M111" t="str">
        <f t="shared" si="10"/>
        <v>ΔΥΤΙΚΗΣ ΜΑΚΕΔΟΝΙΑΣ - ΣΕΡΒΙΩΝ – ΒΕΛΒΕΝΤΟΥ</v>
      </c>
      <c r="N111" s="191">
        <f t="shared" si="12"/>
        <v>14438</v>
      </c>
      <c r="O111" s="191" t="str">
        <f t="shared" si="13"/>
        <v>Σερβίων - Βελβεντού</v>
      </c>
    </row>
    <row r="112" spans="1:15" x14ac:dyDescent="0.25">
      <c r="A112" s="19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1" t="s">
        <v>690</v>
      </c>
      <c r="G112" s="191">
        <v>14174</v>
      </c>
      <c r="H112" t="str">
        <f>_xlfn.IFNA(INDEX(DimosNaiOxi,MATCH(ΤΚ!E112,DimosNai,0)),"")</f>
        <v>ΝΑΙ</v>
      </c>
      <c r="I112" t="str">
        <f>LOOKUP(B112,ΠΕΡΙΦΕΡΕΙΑ!$A$2:$A$14,ΠΕΡΙΦΕΡΕΙΑ!$B$2:$B$14)</f>
        <v>Μερική</v>
      </c>
      <c r="J112">
        <f t="shared" si="11"/>
        <v>111</v>
      </c>
      <c r="K112" s="193">
        <f t="shared" si="8"/>
        <v>128</v>
      </c>
      <c r="L112" t="str">
        <f t="shared" si="9"/>
        <v>ΔΥΤΙΚΗΣ ΜΑΚΕΔΟΝΙΑΣ</v>
      </c>
      <c r="M112" t="str">
        <f t="shared" si="10"/>
        <v>ΔΥΤΙΚΗΣ ΜΑΚΕΔΟΝΙΑΣ - ΦΛΩΡΙΝΑΣ</v>
      </c>
      <c r="N112" s="191">
        <f t="shared" si="12"/>
        <v>14520</v>
      </c>
      <c r="O112" s="191" t="str">
        <f t="shared" si="13"/>
        <v>Φλώρινας</v>
      </c>
    </row>
    <row r="113" spans="1:15" x14ac:dyDescent="0.25">
      <c r="A113" s="19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1" t="s">
        <v>691</v>
      </c>
      <c r="G113" s="191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193">
        <f t="shared" si="8"/>
        <v>129</v>
      </c>
      <c r="L113" t="str">
        <f t="shared" si="9"/>
        <v>ΗΠΕΙΡΟΥ</v>
      </c>
      <c r="M113" t="str">
        <f t="shared" si="10"/>
        <v>ΗΠΕΙΡΟΥ - ΑΡΤΑΙΩΝ</v>
      </c>
      <c r="N113" s="191">
        <f t="shared" si="12"/>
        <v>13998</v>
      </c>
      <c r="O113" s="191" t="str">
        <f t="shared" si="13"/>
        <v>Αρταίων</v>
      </c>
    </row>
    <row r="114" spans="1:15" x14ac:dyDescent="0.25">
      <c r="A114" s="19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1" t="s">
        <v>692</v>
      </c>
      <c r="G114" s="191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3">
        <f t="shared" si="8"/>
        <v>131</v>
      </c>
      <c r="L114" t="str">
        <f t="shared" si="9"/>
        <v>ΗΠΕΙΡΟΥ</v>
      </c>
      <c r="M114" t="str">
        <f t="shared" si="10"/>
        <v>ΗΠΕΙΡΟΥ - ΓΕΩΡΓΙΟΥ ΚΑΡΑΪΣΚΑΚΗ</v>
      </c>
      <c r="N114" s="191">
        <f t="shared" si="12"/>
        <v>14042</v>
      </c>
      <c r="O114" s="191" t="str">
        <f t="shared" si="13"/>
        <v>Γεωργίου Καραϊσκάκη</v>
      </c>
    </row>
    <row r="115" spans="1:15" x14ac:dyDescent="0.25">
      <c r="A115" s="19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1" t="s">
        <v>693</v>
      </c>
      <c r="G115" s="191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3">
        <f t="shared" si="8"/>
        <v>132</v>
      </c>
      <c r="L115" t="str">
        <f t="shared" si="9"/>
        <v>ΗΠΕΙΡΟΥ</v>
      </c>
      <c r="M115" t="str">
        <f t="shared" si="10"/>
        <v>ΗΠΕΙΡΟΥ - ΔΩΔΩΝΗΣ</v>
      </c>
      <c r="N115" s="191">
        <f t="shared" si="12"/>
        <v>14076</v>
      </c>
      <c r="O115" s="191" t="str">
        <f t="shared" si="13"/>
        <v>Δωδώνης</v>
      </c>
    </row>
    <row r="116" spans="1:15" x14ac:dyDescent="0.25">
      <c r="A116" s="19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1" t="s">
        <v>694</v>
      </c>
      <c r="G116" s="191">
        <v>14410</v>
      </c>
      <c r="H116" t="str">
        <f>_xlfn.IFNA(INDEX(DimosNaiOxi,MATCH(ΤΚ!E116,DimosNai,0)),"")</f>
        <v>ΝΑΙ</v>
      </c>
      <c r="I116" t="str">
        <f>LOOKUP(B116,ΠΕΡΙΦΕΡΕΙΑ!$A$2:$A$14,ΠΕΡΙΦΕΡΕΙΑ!$B$2:$B$14)</f>
        <v>Μερική</v>
      </c>
      <c r="J116">
        <f t="shared" si="11"/>
        <v>115</v>
      </c>
      <c r="K116" s="193">
        <f t="shared" si="8"/>
        <v>134</v>
      </c>
      <c r="L116" t="str">
        <f t="shared" si="9"/>
        <v>ΗΠΕΙΡΟΥ</v>
      </c>
      <c r="M116" t="str">
        <f t="shared" si="10"/>
        <v>ΗΠΕΙΡΟΥ - ΖΗΡΟΥ</v>
      </c>
      <c r="N116" s="191">
        <f t="shared" si="12"/>
        <v>14112</v>
      </c>
      <c r="O116" s="191" t="str">
        <f t="shared" si="13"/>
        <v>Ζηρού</v>
      </c>
    </row>
    <row r="117" spans="1:15" x14ac:dyDescent="0.25">
      <c r="A117" s="19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1" t="s">
        <v>695</v>
      </c>
      <c r="G117" s="191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3">
        <f t="shared" si="8"/>
        <v>135</v>
      </c>
      <c r="L117" t="str">
        <f t="shared" si="9"/>
        <v>ΗΠΕΙΡΟΥ</v>
      </c>
      <c r="M117" t="str">
        <f t="shared" si="10"/>
        <v>ΗΠΕΙΡΟΥ - ΖΙΤΣΑΣ</v>
      </c>
      <c r="N117" s="191">
        <f t="shared" si="12"/>
        <v>14114</v>
      </c>
      <c r="O117" s="191" t="str">
        <f t="shared" si="13"/>
        <v>Ζίτσας</v>
      </c>
    </row>
    <row r="118" spans="1:15" x14ac:dyDescent="0.25">
      <c r="A118" s="19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1" t="s">
        <v>696</v>
      </c>
      <c r="G118" s="191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193">
        <f t="shared" si="8"/>
        <v>136</v>
      </c>
      <c r="L118" t="str">
        <f t="shared" si="9"/>
        <v>ΗΠΕΙΡΟΥ</v>
      </c>
      <c r="M118" t="str">
        <f t="shared" si="10"/>
        <v>ΗΠΕΙΡΟΥ - ΗΓΟΥΜΕΝΙΤΣΑΣ</v>
      </c>
      <c r="N118" s="191">
        <f t="shared" si="12"/>
        <v>14106</v>
      </c>
      <c r="O118" s="191" t="str">
        <f t="shared" si="13"/>
        <v>Ηγουμενίτσας</v>
      </c>
    </row>
    <row r="119" spans="1:15" x14ac:dyDescent="0.25">
      <c r="A119" s="19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1" t="s">
        <v>697</v>
      </c>
      <c r="G119" s="191">
        <v>14028</v>
      </c>
      <c r="H119" t="str">
        <f>_xlfn.IFNA(INDEX(DimosNaiOxi,MATCH(ΤΚ!E119,DimosNai,0)),"")</f>
        <v>ΝΑΙ</v>
      </c>
      <c r="I119" t="str">
        <f>LOOKUP(B119,ΠΕΡΙΦΕΡΕΙΑ!$A$2:$A$14,ΠΕΡΙΦΕΡΕΙΑ!$B$2:$B$14)</f>
        <v>Μερική</v>
      </c>
      <c r="J119">
        <f t="shared" si="11"/>
        <v>118</v>
      </c>
      <c r="K119" s="193">
        <f t="shared" si="8"/>
        <v>137</v>
      </c>
      <c r="L119" t="str">
        <f t="shared" si="9"/>
        <v>ΗΠΕΙΡΟΥ</v>
      </c>
      <c r="M119" t="str">
        <f t="shared" si="10"/>
        <v>ΗΠΕΙΡΟΥ - ΙΩΑΝΝΙΤΩΝ</v>
      </c>
      <c r="N119" s="191">
        <f t="shared" si="12"/>
        <v>14154</v>
      </c>
      <c r="O119" s="191" t="str">
        <f t="shared" si="13"/>
        <v>Ιωαννιτών</v>
      </c>
    </row>
    <row r="120" spans="1:15" x14ac:dyDescent="0.25">
      <c r="A120" s="19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1" t="s">
        <v>698</v>
      </c>
      <c r="G120" s="191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3">
        <f t="shared" si="8"/>
        <v>140</v>
      </c>
      <c r="L120" t="str">
        <f t="shared" si="9"/>
        <v>ΗΠΕΙΡΟΥ</v>
      </c>
      <c r="M120" t="str">
        <f t="shared" si="10"/>
        <v>ΗΠΕΙΡΟΥ - ΜΕΤΣΟΒΟΥ</v>
      </c>
      <c r="N120" s="191">
        <f t="shared" si="12"/>
        <v>14294</v>
      </c>
      <c r="O120" s="191" t="str">
        <f t="shared" si="13"/>
        <v>Μετσόβου</v>
      </c>
    </row>
    <row r="121" spans="1:15" x14ac:dyDescent="0.25">
      <c r="A121" s="19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1" t="s">
        <v>699</v>
      </c>
      <c r="G121" s="191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3">
        <f t="shared" si="8"/>
        <v>141</v>
      </c>
      <c r="L121" t="str">
        <f t="shared" si="9"/>
        <v>ΗΠΕΙΡΟΥ</v>
      </c>
      <c r="M121" t="str">
        <f t="shared" si="10"/>
        <v>ΗΠΕΙΡΟΥ - ΝΙΚΟΛΑΟΥ ΣΚΟΥΦΑ</v>
      </c>
      <c r="N121" s="191">
        <f t="shared" si="12"/>
        <v>14326</v>
      </c>
      <c r="O121" s="191" t="str">
        <f t="shared" si="13"/>
        <v>Νικολάου Σκουφά</v>
      </c>
    </row>
    <row r="122" spans="1:15" x14ac:dyDescent="0.25">
      <c r="A122" s="19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1" t="s">
        <v>700</v>
      </c>
      <c r="G122" s="191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3">
        <f t="shared" si="8"/>
        <v>143</v>
      </c>
      <c r="L122" t="str">
        <f t="shared" si="9"/>
        <v>ΗΠΕΙΡΟΥ</v>
      </c>
      <c r="M122" t="str">
        <f t="shared" si="10"/>
        <v>ΗΠΕΙΡΟΥ - ΠΡΕΒΕΖΑΣ</v>
      </c>
      <c r="N122" s="191">
        <f t="shared" si="12"/>
        <v>14418</v>
      </c>
      <c r="O122" s="191" t="str">
        <f t="shared" si="13"/>
        <v>Πρέβεζας</v>
      </c>
    </row>
    <row r="123" spans="1:15" x14ac:dyDescent="0.25">
      <c r="A123" s="19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1" t="s">
        <v>701</v>
      </c>
      <c r="G123" s="191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3">
        <f t="shared" si="8"/>
        <v>145</v>
      </c>
      <c r="L123" t="str">
        <f t="shared" si="9"/>
        <v>ΗΠΕΙΡΟΥ</v>
      </c>
      <c r="M123" t="str">
        <f t="shared" si="10"/>
        <v>ΗΠΕΙΡΟΥ - ΣΟΥΛΙΟΥ</v>
      </c>
      <c r="N123" s="191">
        <f t="shared" si="12"/>
        <v>14468</v>
      </c>
      <c r="O123" s="191" t="str">
        <f t="shared" si="13"/>
        <v>Σουλίου</v>
      </c>
    </row>
    <row r="124" spans="1:15" x14ac:dyDescent="0.25">
      <c r="A124" s="19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1" t="s">
        <v>702</v>
      </c>
      <c r="G124" s="191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3">
        <f t="shared" si="8"/>
        <v>146</v>
      </c>
      <c r="L124" t="str">
        <f t="shared" si="9"/>
        <v>ΗΠΕΙΡΟΥ</v>
      </c>
      <c r="M124" t="str">
        <f t="shared" si="10"/>
        <v>ΗΠΕΙΡΟΥ - ΦΙΛΙΑΤΩΝ</v>
      </c>
      <c r="N124" s="191">
        <f t="shared" si="12"/>
        <v>14516</v>
      </c>
      <c r="O124" s="191" t="str">
        <f t="shared" si="13"/>
        <v>Φιλιατών</v>
      </c>
    </row>
    <row r="125" spans="1:15" x14ac:dyDescent="0.25">
      <c r="A125" s="19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1" t="s">
        <v>703</v>
      </c>
      <c r="G125" s="191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3">
        <f t="shared" si="8"/>
        <v>147</v>
      </c>
      <c r="L125" t="str">
        <f t="shared" si="9"/>
        <v>ΘΕΣΣΑΛΙΑΣ</v>
      </c>
      <c r="M125" t="str">
        <f t="shared" si="10"/>
        <v>ΘΕΣΣΑΛΙΑΣ - ΑΓΙΑΣ</v>
      </c>
      <c r="N125" s="191">
        <f t="shared" si="12"/>
        <v>13938</v>
      </c>
      <c r="O125" s="191" t="str">
        <f t="shared" si="13"/>
        <v>Αγιάς</v>
      </c>
    </row>
    <row r="126" spans="1:15" x14ac:dyDescent="0.25">
      <c r="A126" s="19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1" t="s">
        <v>704</v>
      </c>
      <c r="G126" s="191">
        <v>14354</v>
      </c>
      <c r="H126" t="str">
        <f>_xlfn.IFNA(INDEX(DimosNaiOxi,MATCH(ΤΚ!E126,DimosNai,0)),"")</f>
        <v>ΝΑΙ</v>
      </c>
      <c r="I126" t="str">
        <f>LOOKUP(B126,ΠΕΡΙΦΕΡΕΙΑ!$A$2:$A$14,ΠΕΡΙΦΕΡΕΙΑ!$B$2:$B$14)</f>
        <v>Μερική</v>
      </c>
      <c r="J126">
        <f t="shared" si="11"/>
        <v>125</v>
      </c>
      <c r="K126" s="193">
        <f t="shared" si="8"/>
        <v>148</v>
      </c>
      <c r="L126" t="str">
        <f t="shared" si="9"/>
        <v>ΘΕΣΣΑΛΙΑΣ</v>
      </c>
      <c r="M126" t="str">
        <f t="shared" si="10"/>
        <v>ΘΕΣΣΑΛΙΑΣ - ΑΛΜΥΡΟΥ</v>
      </c>
      <c r="N126" s="191">
        <f t="shared" si="12"/>
        <v>13958</v>
      </c>
      <c r="O126" s="191" t="str">
        <f t="shared" si="13"/>
        <v>Αλμυρού</v>
      </c>
    </row>
    <row r="127" spans="1:15" x14ac:dyDescent="0.25">
      <c r="A127" s="19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1" t="s">
        <v>705</v>
      </c>
      <c r="G127" s="191">
        <v>14372</v>
      </c>
      <c r="H127" t="str">
        <f>_xlfn.IFNA(INDEX(DimosNaiOxi,MATCH(ΤΚ!E127,DimosNai,0)),"")</f>
        <v>ΝΑΙ</v>
      </c>
      <c r="I127" t="str">
        <f>LOOKUP(B127,ΠΕΡΙΦΕΡΕΙΑ!$A$2:$A$14,ΠΕΡΙΦΕΡΕΙΑ!$B$2:$B$14)</f>
        <v>Μερική</v>
      </c>
      <c r="J127">
        <f t="shared" si="11"/>
        <v>126</v>
      </c>
      <c r="K127" s="193">
        <f t="shared" si="8"/>
        <v>151</v>
      </c>
      <c r="L127" t="str">
        <f t="shared" si="9"/>
        <v>ΘΕΣΣΑΛΙΑΣ</v>
      </c>
      <c r="M127" t="str">
        <f t="shared" si="10"/>
        <v>ΘΕΣΣΑΛΙΑΣ - ΒΟΛΟΥ</v>
      </c>
      <c r="N127" s="191">
        <f t="shared" si="12"/>
        <v>14034</v>
      </c>
      <c r="O127" s="191" t="str">
        <f t="shared" si="13"/>
        <v>Βόλου</v>
      </c>
    </row>
    <row r="128" spans="1:15" x14ac:dyDescent="0.25">
      <c r="A128" s="19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1" t="s">
        <v>706</v>
      </c>
      <c r="G128" s="191">
        <v>14438</v>
      </c>
      <c r="H128" t="str">
        <f>_xlfn.IFNA(INDEX(DimosNaiOxi,MATCH(ΤΚ!E128,DimosNai,0)),"")</f>
        <v>ΝΑΙ</v>
      </c>
      <c r="I128" t="str">
        <f>LOOKUP(B128,ΠΕΡΙΦΕΡΕΙΑ!$A$2:$A$14,ΠΕΡΙΦΕΡΕΙΑ!$B$2:$B$14)</f>
        <v>Μερική</v>
      </c>
      <c r="J128">
        <f t="shared" si="11"/>
        <v>127</v>
      </c>
      <c r="K128" s="193">
        <f t="shared" si="8"/>
        <v>152</v>
      </c>
      <c r="L128" t="str">
        <f t="shared" si="9"/>
        <v>ΘΕΣΣΑΛΙΑΣ</v>
      </c>
      <c r="M128" t="str">
        <f t="shared" si="10"/>
        <v>ΘΕΣΣΑΛΙΑΣ - ΕΛΑΣΣΟΝΑΣ</v>
      </c>
      <c r="N128" s="191">
        <f t="shared" si="12"/>
        <v>14082</v>
      </c>
      <c r="O128" s="191" t="str">
        <f t="shared" si="13"/>
        <v>Ελασσόνας</v>
      </c>
    </row>
    <row r="129" spans="1:15" x14ac:dyDescent="0.25">
      <c r="A129" s="19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1" t="s">
        <v>707</v>
      </c>
      <c r="G129" s="191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3">
        <f t="shared" si="8"/>
        <v>153</v>
      </c>
      <c r="L129" t="str">
        <f t="shared" si="9"/>
        <v>ΘΕΣΣΑΛΙΑΣ</v>
      </c>
      <c r="M129" t="str">
        <f t="shared" si="10"/>
        <v>ΘΕΣΣΑΛΙΑΣ - ΖΑΓΟΡΑΣ – ΜΟΥΡΕΣΙΟΥ</v>
      </c>
      <c r="N129" s="191">
        <f t="shared" si="12"/>
        <v>14102</v>
      </c>
      <c r="O129" s="191" t="str">
        <f t="shared" si="13"/>
        <v>Ζαγοράς - Μουρεσίου</v>
      </c>
    </row>
    <row r="130" spans="1:15" x14ac:dyDescent="0.25">
      <c r="A130" s="19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1" t="s">
        <v>708</v>
      </c>
      <c r="G130" s="191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3">
        <f t="shared" ref="K130:K193" si="15">SMALL(J:J,A130)</f>
        <v>154</v>
      </c>
      <c r="L130" t="str">
        <f t="shared" ref="L130:L193" si="16">IF(ISNUMBER(K130),LOOKUP(K130,A:A,B:B),"")</f>
        <v>ΘΕΣΣΑΛΙΑΣ</v>
      </c>
      <c r="M130" t="str">
        <f t="shared" ref="M130:M193" si="17">IF(ISNUMBER(K130),LOOKUP(K130,A:A,B:B)&amp;" - "&amp;LOOKUP(K130,A:A,D:D),"")</f>
        <v>ΘΕΣΣΑΛΙΑΣ - ΚΑΛΑΜΠΑΚΑΣ</v>
      </c>
      <c r="N130" s="191">
        <f t="shared" si="12"/>
        <v>14182</v>
      </c>
      <c r="O130" s="191" t="str">
        <f t="shared" si="13"/>
        <v>Καλαμπάκας</v>
      </c>
    </row>
    <row r="131" spans="1:15" x14ac:dyDescent="0.25">
      <c r="A131" s="19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1" t="s">
        <v>709</v>
      </c>
      <c r="G131" s="191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3">
        <f t="shared" si="15"/>
        <v>155</v>
      </c>
      <c r="L131" t="str">
        <f t="shared" si="16"/>
        <v>ΘΕΣΣΑΛΙΑΣ</v>
      </c>
      <c r="M131" t="str">
        <f t="shared" si="17"/>
        <v>ΘΕΣΣΑΛΙΑΣ - ΚΑΡΔΙΤΣΑΣ</v>
      </c>
      <c r="N131" s="191">
        <f t="shared" ref="N131:N194" si="19">IF(ISNUMBER(K131),LOOKUP(K131,A:A,G:G),"")</f>
        <v>14188</v>
      </c>
      <c r="O131" s="191" t="str">
        <f t="shared" ref="O131:O194" si="20">IF(ISNUMBER(K131),LOOKUP(K131,A:A,F:F),"")</f>
        <v>Καρδίτσας</v>
      </c>
    </row>
    <row r="132" spans="1:15" x14ac:dyDescent="0.25">
      <c r="A132" s="19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1" t="s">
        <v>710</v>
      </c>
      <c r="G132" s="191">
        <v>14042</v>
      </c>
      <c r="H132" t="str">
        <f>_xlfn.IFNA(INDEX(DimosNaiOxi,MATCH(ΤΚ!E132,DimosNai,0)),"")</f>
        <v>ΝΑΙ</v>
      </c>
      <c r="I132" t="str">
        <f>LOOKUP(B132,ΠΕΡΙΦΕΡΕΙΑ!$A$2:$A$14,ΠΕΡΙΦΕΡΕΙΑ!$B$2:$B$14)</f>
        <v>Μερική</v>
      </c>
      <c r="J132">
        <f t="shared" si="18"/>
        <v>131</v>
      </c>
      <c r="K132" s="193">
        <f t="shared" si="15"/>
        <v>156</v>
      </c>
      <c r="L132" t="str">
        <f t="shared" si="16"/>
        <v>ΘΕΣΣΑΛΙΑΣ</v>
      </c>
      <c r="M132" t="str">
        <f t="shared" si="17"/>
        <v>ΘΕΣΣΑΛΙΑΣ - ΚΙΛΕΛΕΡ</v>
      </c>
      <c r="N132" s="191">
        <f t="shared" si="19"/>
        <v>14210</v>
      </c>
      <c r="O132" s="191" t="str">
        <f t="shared" si="20"/>
        <v>Κιλελέρ</v>
      </c>
    </row>
    <row r="133" spans="1:15" x14ac:dyDescent="0.25">
      <c r="A133" s="19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1" t="s">
        <v>711</v>
      </c>
      <c r="G133" s="191">
        <v>14076</v>
      </c>
      <c r="H133" t="str">
        <f>_xlfn.IFNA(INDEX(DimosNaiOxi,MATCH(ΤΚ!E133,DimosNai,0)),"")</f>
        <v>ΝΑΙ</v>
      </c>
      <c r="I133" t="str">
        <f>LOOKUP(B133,ΠΕΡΙΦΕΡΕΙΑ!$A$2:$A$14,ΠΕΡΙΦΕΡΕΙΑ!$B$2:$B$14)</f>
        <v>Μερική</v>
      </c>
      <c r="J133">
        <f t="shared" si="18"/>
        <v>132</v>
      </c>
      <c r="K133" s="193">
        <f t="shared" si="15"/>
        <v>157</v>
      </c>
      <c r="L133" t="str">
        <f t="shared" si="16"/>
        <v>ΘΕΣΣΑΛΙΑΣ</v>
      </c>
      <c r="M133" t="str">
        <f t="shared" si="17"/>
        <v>ΘΕΣΣΑΛΙΑΣ - ΛΑΡΙΣΑΙΩΝ</v>
      </c>
      <c r="N133" s="191">
        <f t="shared" si="19"/>
        <v>14246</v>
      </c>
      <c r="O133" s="191" t="str">
        <f t="shared" si="20"/>
        <v>Λαρισαίων</v>
      </c>
    </row>
    <row r="134" spans="1:15" x14ac:dyDescent="0.25">
      <c r="A134" s="19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1" t="s">
        <v>712</v>
      </c>
      <c r="G134" s="19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3">
        <f t="shared" si="15"/>
        <v>160</v>
      </c>
      <c r="L134" t="str">
        <f t="shared" si="16"/>
        <v>ΘΕΣΣΑΛΙΑΣ</v>
      </c>
      <c r="M134" t="str">
        <f t="shared" si="17"/>
        <v>ΘΕΣΣΑΛΙΑΣ - ΝΟΤΙΟΥ ΠΗΛΙΟΥ</v>
      </c>
      <c r="N134" s="191">
        <f t="shared" si="19"/>
        <v>14342</v>
      </c>
      <c r="O134" s="191" t="str">
        <f t="shared" si="20"/>
        <v>Νοτίου Πηλίου</v>
      </c>
    </row>
    <row r="135" spans="1:15" x14ac:dyDescent="0.25">
      <c r="A135" s="19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1" t="s">
        <v>713</v>
      </c>
      <c r="G135" s="191">
        <v>14112</v>
      </c>
      <c r="H135" t="str">
        <f>_xlfn.IFNA(INDEX(DimosNaiOxi,MATCH(ΤΚ!E135,DimosNai,0)),"")</f>
        <v>ΝΑΙ</v>
      </c>
      <c r="I135" t="str">
        <f>LOOKUP(B135,ΠΕΡΙΦΕΡΕΙΑ!$A$2:$A$14,ΠΕΡΙΦΕΡΕΙΑ!$B$2:$B$14)</f>
        <v>Μερική</v>
      </c>
      <c r="J135">
        <f t="shared" si="18"/>
        <v>134</v>
      </c>
      <c r="K135" s="193">
        <f t="shared" si="15"/>
        <v>161</v>
      </c>
      <c r="L135" t="str">
        <f t="shared" si="16"/>
        <v>ΘΕΣΣΑΛΙΑΣ</v>
      </c>
      <c r="M135" t="str">
        <f t="shared" si="17"/>
        <v>ΘΕΣΣΑΛΙΑΣ - ΠΑΛΑΜΑ</v>
      </c>
      <c r="N135" s="191">
        <f t="shared" si="19"/>
        <v>14388</v>
      </c>
      <c r="O135" s="191" t="str">
        <f t="shared" si="20"/>
        <v>Παλαμά</v>
      </c>
    </row>
    <row r="136" spans="1:15" x14ac:dyDescent="0.25">
      <c r="A136" s="19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1" t="s">
        <v>714</v>
      </c>
      <c r="G136" s="191">
        <v>14114</v>
      </c>
      <c r="H136" t="str">
        <f>_xlfn.IFNA(INDEX(DimosNaiOxi,MATCH(ΤΚ!E136,DimosNai,0)),"")</f>
        <v>ΝΑΙ</v>
      </c>
      <c r="I136" t="str">
        <f>LOOKUP(B136,ΠΕΡΙΦΕΡΕΙΑ!$A$2:$A$14,ΠΕΡΙΦΕΡΕΙΑ!$B$2:$B$14)</f>
        <v>Μερική</v>
      </c>
      <c r="J136">
        <f t="shared" si="18"/>
        <v>135</v>
      </c>
      <c r="K136" s="193">
        <f t="shared" si="15"/>
        <v>162</v>
      </c>
      <c r="L136" t="str">
        <f t="shared" si="16"/>
        <v>ΘΕΣΣΑΛΙΑΣ</v>
      </c>
      <c r="M136" t="str">
        <f t="shared" si="17"/>
        <v>ΘΕΣΣΑΛΙΑΣ - ΠΥΛΗΣ</v>
      </c>
      <c r="N136" s="191">
        <f t="shared" si="19"/>
        <v>14374</v>
      </c>
      <c r="O136" s="191" t="str">
        <f t="shared" si="20"/>
        <v>Πύλης</v>
      </c>
    </row>
    <row r="137" spans="1:15" x14ac:dyDescent="0.25">
      <c r="A137" s="19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1" t="s">
        <v>715</v>
      </c>
      <c r="G137" s="191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3">
        <f t="shared" si="15"/>
        <v>164</v>
      </c>
      <c r="L137" t="str">
        <f t="shared" si="16"/>
        <v>ΘΕΣΣΑΛΙΑΣ</v>
      </c>
      <c r="M137" t="str">
        <f t="shared" si="17"/>
        <v>ΘΕΣΣΑΛΙΑΣ - ΣΚΙΑΘΟΥ</v>
      </c>
      <c r="N137" s="191">
        <f t="shared" si="19"/>
        <v>14466</v>
      </c>
      <c r="O137" s="191" t="str">
        <f t="shared" si="20"/>
        <v>Σκιάθου</v>
      </c>
    </row>
    <row r="138" spans="1:15" x14ac:dyDescent="0.25">
      <c r="A138" s="19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1" t="s">
        <v>716</v>
      </c>
      <c r="G138" s="191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3">
        <f t="shared" si="15"/>
        <v>166</v>
      </c>
      <c r="L138" t="str">
        <f t="shared" si="16"/>
        <v>ΘΕΣΣΑΛΙΑΣ</v>
      </c>
      <c r="M138" t="str">
        <f t="shared" si="17"/>
        <v>ΘΕΣΣΑΛΙΑΣ - ΣΟΦΑΔΩΝ</v>
      </c>
      <c r="N138" s="191">
        <f t="shared" si="19"/>
        <v>14476</v>
      </c>
      <c r="O138" s="191" t="str">
        <f t="shared" si="20"/>
        <v>Σοφάδων</v>
      </c>
    </row>
    <row r="139" spans="1:15" x14ac:dyDescent="0.25">
      <c r="A139" s="19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1" t="s">
        <v>717</v>
      </c>
      <c r="G139" s="191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3">
        <f t="shared" si="15"/>
        <v>167</v>
      </c>
      <c r="L139" t="str">
        <f t="shared" si="16"/>
        <v>ΘΕΣΣΑΛΙΑΣ</v>
      </c>
      <c r="M139" t="str">
        <f t="shared" si="17"/>
        <v>ΘΕΣΣΑΛΙΑΣ - ΤΕΜΠΩΝ</v>
      </c>
      <c r="N139" s="191">
        <f t="shared" si="19"/>
        <v>14490</v>
      </c>
      <c r="O139" s="191" t="str">
        <f t="shared" si="20"/>
        <v>Τεμπών</v>
      </c>
    </row>
    <row r="140" spans="1:15" x14ac:dyDescent="0.25">
      <c r="A140" s="19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1" t="s">
        <v>718</v>
      </c>
      <c r="G140" s="191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3">
        <f t="shared" si="15"/>
        <v>168</v>
      </c>
      <c r="L140" t="str">
        <f t="shared" si="16"/>
        <v>ΘΕΣΣΑΛΙΑΣ</v>
      </c>
      <c r="M140" t="str">
        <f t="shared" si="17"/>
        <v>ΘΕΣΣΑΛΙΑΣ - ΤΡΙΚΚΑΙΩΝ</v>
      </c>
      <c r="N140" s="191">
        <f t="shared" si="19"/>
        <v>14494</v>
      </c>
      <c r="O140" s="191" t="str">
        <f t="shared" si="20"/>
        <v>Τρικκαίων</v>
      </c>
    </row>
    <row r="141" spans="1:15" x14ac:dyDescent="0.25">
      <c r="A141" s="19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1" t="s">
        <v>719</v>
      </c>
      <c r="G141" s="191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3">
        <f t="shared" si="15"/>
        <v>169</v>
      </c>
      <c r="L141" t="str">
        <f t="shared" si="16"/>
        <v>ΘΕΣΣΑΛΙΑΣ</v>
      </c>
      <c r="M141" t="str">
        <f t="shared" si="17"/>
        <v>ΘΕΣΣΑΛΙΑΣ - ΤΥΡΝΑΒΟΥ</v>
      </c>
      <c r="N141" s="191">
        <f t="shared" si="19"/>
        <v>14506</v>
      </c>
      <c r="O141" s="191" t="str">
        <f t="shared" si="20"/>
        <v>Τυρνάβου</v>
      </c>
    </row>
    <row r="142" spans="1:15" x14ac:dyDescent="0.25">
      <c r="A142" s="19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1" t="s">
        <v>720</v>
      </c>
      <c r="G142" s="191">
        <v>14326</v>
      </c>
      <c r="H142" t="str">
        <f>_xlfn.IFNA(INDEX(DimosNaiOxi,MATCH(ΤΚ!E142,DimosNai,0)),"")</f>
        <v>ΝΑΙ</v>
      </c>
      <c r="I142" t="str">
        <f>LOOKUP(B142,ΠΕΡΙΦΕΡΕΙΑ!$A$2:$A$14,ΠΕΡΙΦΕΡΕΙΑ!$B$2:$B$14)</f>
        <v>Μερική</v>
      </c>
      <c r="J142">
        <f t="shared" si="18"/>
        <v>141</v>
      </c>
      <c r="K142" s="193">
        <f t="shared" si="15"/>
        <v>170</v>
      </c>
      <c r="L142" t="str">
        <f t="shared" si="16"/>
        <v>ΘΕΣΣΑΛΙΑΣ</v>
      </c>
      <c r="M142" t="str">
        <f t="shared" si="17"/>
        <v>ΘΕΣΣΑΛΙΑΣ - ΦΑΡΚΑΔΟΝΑΣ</v>
      </c>
      <c r="N142" s="191">
        <f t="shared" si="19"/>
        <v>13916</v>
      </c>
      <c r="O142" s="191" t="str">
        <f t="shared" si="20"/>
        <v>Φαρκαδόνας</v>
      </c>
    </row>
    <row r="143" spans="1:15" x14ac:dyDescent="0.25">
      <c r="A143" s="19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1" t="s">
        <v>721</v>
      </c>
      <c r="G143" s="19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3">
        <f t="shared" si="15"/>
        <v>171</v>
      </c>
      <c r="L143" t="str">
        <f t="shared" si="16"/>
        <v>ΘΕΣΣΑΛΙΑΣ</v>
      </c>
      <c r="M143" t="str">
        <f t="shared" si="17"/>
        <v>ΘΕΣΣΑΛΙΑΣ - ΦΑΡΣΑΛΩΝ</v>
      </c>
      <c r="N143" s="191">
        <f t="shared" si="19"/>
        <v>14512</v>
      </c>
      <c r="O143" s="191" t="str">
        <f t="shared" si="20"/>
        <v>Φαρσάλων</v>
      </c>
    </row>
    <row r="144" spans="1:15" x14ac:dyDescent="0.25">
      <c r="A144" s="19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1" t="s">
        <v>722</v>
      </c>
      <c r="G144" s="191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3">
        <f t="shared" si="15"/>
        <v>172</v>
      </c>
      <c r="L144" t="str">
        <f t="shared" si="16"/>
        <v>ΙΟΝΙΩΝ ΝΗΣΩΝ</v>
      </c>
      <c r="M144" t="str">
        <f t="shared" si="17"/>
        <v>ΙΟΝΙΩΝ ΝΗΣΩΝ - ΖΑΚΥΝΘΟΥ</v>
      </c>
      <c r="N144" s="191">
        <f t="shared" si="19"/>
        <v>14108</v>
      </c>
      <c r="O144" s="191" t="str">
        <f t="shared" si="20"/>
        <v>Ζακύνθου</v>
      </c>
    </row>
    <row r="145" spans="1:15" x14ac:dyDescent="0.25">
      <c r="A145" s="19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1" t="s">
        <v>723</v>
      </c>
      <c r="G145" s="191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3">
        <f t="shared" si="15"/>
        <v>174</v>
      </c>
      <c r="L145" t="str">
        <f t="shared" si="16"/>
        <v>ΙΟΝΙΩΝ ΝΗΣΩΝ</v>
      </c>
      <c r="M145" t="str">
        <f t="shared" si="17"/>
        <v>ΙΟΝΙΩΝ ΝΗΣΩΝ - ΚΕΡΚΥΡΑΣ</v>
      </c>
      <c r="N145" s="191">
        <f t="shared" si="19"/>
        <v>14206</v>
      </c>
      <c r="O145" s="191" t="str">
        <f t="shared" si="20"/>
        <v>Κέρκυρας</v>
      </c>
    </row>
    <row r="146" spans="1:15" x14ac:dyDescent="0.25">
      <c r="A146" s="19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1" t="s">
        <v>724</v>
      </c>
      <c r="G146" s="191">
        <v>14468</v>
      </c>
      <c r="H146" t="str">
        <f>_xlfn.IFNA(INDEX(DimosNaiOxi,MATCH(ΤΚ!E146,DimosNai,0)),"")</f>
        <v>ΝΑΙ</v>
      </c>
      <c r="I146" t="str">
        <f>LOOKUP(B146,ΠΕΡΙΦΕΡΕΙΑ!$A$2:$A$14,ΠΕΡΙΦΕΡΕΙΑ!$B$2:$B$14)</f>
        <v>Μερική</v>
      </c>
      <c r="J146">
        <f t="shared" si="18"/>
        <v>145</v>
      </c>
      <c r="K146" s="193">
        <f t="shared" si="15"/>
        <v>175</v>
      </c>
      <c r="L146" t="str">
        <f t="shared" si="16"/>
        <v>ΙΟΝΙΩΝ ΝΗΣΩΝ</v>
      </c>
      <c r="M146" t="str">
        <f t="shared" si="17"/>
        <v>ΙΟΝΙΩΝ ΝΗΣΩΝ - ΚΕΦΑΛΟΝΙΑΣ</v>
      </c>
      <c r="N146" s="191">
        <f t="shared" si="19"/>
        <v>14208</v>
      </c>
      <c r="O146" s="191" t="str">
        <f t="shared" si="20"/>
        <v>Κεφαλονιάς</v>
      </c>
    </row>
    <row r="147" spans="1:15" x14ac:dyDescent="0.25">
      <c r="A147" s="19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1" t="s">
        <v>725</v>
      </c>
      <c r="G147" s="191">
        <v>14516</v>
      </c>
      <c r="H147" t="str">
        <f>_xlfn.IFNA(INDEX(DimosNaiOxi,MATCH(ΤΚ!E147,DimosNai,0)),"")</f>
        <v>ΝΑΙ</v>
      </c>
      <c r="I147" t="str">
        <f>LOOKUP(B147,ΠΕΡΙΦΕΡΕΙΑ!$A$2:$A$14,ΠΕΡΙΦΕΡΕΙΑ!$B$2:$B$14)</f>
        <v>Μερική</v>
      </c>
      <c r="J147">
        <f t="shared" si="18"/>
        <v>146</v>
      </c>
      <c r="K147" s="193">
        <f t="shared" si="15"/>
        <v>176</v>
      </c>
      <c r="L147" t="str">
        <f t="shared" si="16"/>
        <v>ΙΟΝΙΩΝ ΝΗΣΩΝ</v>
      </c>
      <c r="M147" t="str">
        <f t="shared" si="17"/>
        <v>ΙΟΝΙΩΝ ΝΗΣΩΝ - ΛΕΥΚΑΔΑΣ</v>
      </c>
      <c r="N147" s="191">
        <f t="shared" si="19"/>
        <v>14238</v>
      </c>
      <c r="O147" s="191" t="str">
        <f t="shared" si="20"/>
        <v>Λευκάδας</v>
      </c>
    </row>
    <row r="148" spans="1:15" x14ac:dyDescent="0.25">
      <c r="A148" s="19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1" t="s">
        <v>726</v>
      </c>
      <c r="G148" s="191">
        <v>13938</v>
      </c>
      <c r="H148" t="str">
        <f>_xlfn.IFNA(INDEX(DimosNaiOxi,MATCH(ΤΚ!E148,DimosNai,0)),"")</f>
        <v>ΝΑΙ</v>
      </c>
      <c r="I148" t="str">
        <f>LOOKUP(B148,ΠΕΡΙΦΕΡΕΙΑ!$A$2:$A$14,ΠΕΡΙΦΕΡΕΙΑ!$B$2:$B$14)</f>
        <v>Μερική</v>
      </c>
      <c r="J148">
        <f t="shared" si="18"/>
        <v>147</v>
      </c>
      <c r="K148" s="193">
        <f t="shared" si="15"/>
        <v>179</v>
      </c>
      <c r="L148" t="str">
        <f t="shared" si="16"/>
        <v>ΚΕΝΤΡΙΚΗΣ ΜΑΚΕΔΟΝΙΑΣ</v>
      </c>
      <c r="M148" t="str">
        <f t="shared" si="17"/>
        <v>ΚΕΝΤΡΙΚΗΣ ΜΑΚΕΔΟΝΙΑΣ - ΑΛΕΞΑΝΔΡΕΙΑΣ</v>
      </c>
      <c r="N148" s="191">
        <f t="shared" si="19"/>
        <v>13918</v>
      </c>
      <c r="O148" s="191" t="str">
        <f t="shared" si="20"/>
        <v>Αλεξάνδρειας</v>
      </c>
    </row>
    <row r="149" spans="1:15" x14ac:dyDescent="0.25">
      <c r="A149" s="19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1" t="s">
        <v>727</v>
      </c>
      <c r="G149" s="191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3">
        <f t="shared" si="15"/>
        <v>180</v>
      </c>
      <c r="L149" t="str">
        <f t="shared" si="16"/>
        <v>ΚΕΝΤΡΙΚΗΣ ΜΑΚΕΔΟΝΙΑΣ</v>
      </c>
      <c r="M149" t="str">
        <f t="shared" si="17"/>
        <v>ΚΕΝΤΡΙΚΗΣ ΜΑΚΕΔΟΝΙΑΣ - ΑΛΜΩΠΙΑΣ</v>
      </c>
      <c r="N149" s="191">
        <f t="shared" si="19"/>
        <v>13952</v>
      </c>
      <c r="O149" s="191" t="str">
        <f t="shared" si="20"/>
        <v>Αλμωπίας</v>
      </c>
    </row>
    <row r="150" spans="1:15" x14ac:dyDescent="0.25">
      <c r="A150" s="19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1" t="s">
        <v>728</v>
      </c>
      <c r="G150" s="19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3">
        <f t="shared" si="15"/>
        <v>181</v>
      </c>
      <c r="L150" t="str">
        <f t="shared" si="16"/>
        <v>ΚΕΝΤΡΙΚΗΣ ΜΑΚΕΔΟΝΙΑΣ</v>
      </c>
      <c r="M150" t="str">
        <f t="shared" si="17"/>
        <v>ΚΕΝΤΡΙΚΗΣ ΜΑΚΕΔΟΝΙΑΣ - ΑΜΠΕΛΟΚΗΠΩΝ – ΜΕΝΕΜΕΝΗΣ</v>
      </c>
      <c r="N150" s="191">
        <f t="shared" si="19"/>
        <v>13968</v>
      </c>
      <c r="O150" s="191" t="str">
        <f t="shared" si="20"/>
        <v>Αμπελοκήπων - Μενεμένης</v>
      </c>
    </row>
    <row r="151" spans="1:15" x14ac:dyDescent="0.25">
      <c r="A151" s="19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1" t="s">
        <v>729</v>
      </c>
      <c r="G151" s="191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3">
        <f t="shared" si="15"/>
        <v>182</v>
      </c>
      <c r="L151" t="str">
        <f t="shared" si="16"/>
        <v>ΚΕΝΤΡΙΚΗΣ ΜΑΚΕΔΟΝΙΑΣ</v>
      </c>
      <c r="M151" t="str">
        <f t="shared" si="17"/>
        <v>ΚΕΝΤΡΙΚΗΣ ΜΑΚΕΔΟΝΙΑΣ - ΑΜΦΙΠΟΛΗΣ</v>
      </c>
      <c r="N151" s="191">
        <f t="shared" si="19"/>
        <v>13976</v>
      </c>
      <c r="O151" s="191" t="str">
        <f t="shared" si="20"/>
        <v>Αμφίπολης</v>
      </c>
    </row>
    <row r="152" spans="1:15" x14ac:dyDescent="0.25">
      <c r="A152" s="19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1" t="s">
        <v>730</v>
      </c>
      <c r="G152" s="191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3">
        <f t="shared" si="15"/>
        <v>184</v>
      </c>
      <c r="L152" t="str">
        <f t="shared" si="16"/>
        <v>ΚΕΝΤΡΙΚΗΣ ΜΑΚΕΔΟΝΙΑΣ</v>
      </c>
      <c r="M152" t="str">
        <f t="shared" si="17"/>
        <v>ΚΕΝΤΡΙΚΗΣ ΜΑΚΕΔΟΝΙΑΣ - ΒΕΡΟΙΑΣ</v>
      </c>
      <c r="N152" s="191">
        <f t="shared" si="19"/>
        <v>14014</v>
      </c>
      <c r="O152" s="191" t="str">
        <f t="shared" si="20"/>
        <v>Βέροιας</v>
      </c>
    </row>
    <row r="153" spans="1:15" x14ac:dyDescent="0.25">
      <c r="A153" s="19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1" t="s">
        <v>731</v>
      </c>
      <c r="G153" s="191">
        <v>14082</v>
      </c>
      <c r="H153" t="str">
        <f>_xlfn.IFNA(INDEX(DimosNaiOxi,MATCH(ΤΚ!E153,DimosNai,0)),"")</f>
        <v>ΝΑΙ</v>
      </c>
      <c r="I153" t="str">
        <f>LOOKUP(B153,ΠΕΡΙΦΕΡΕΙΑ!$A$2:$A$14,ΠΕΡΙΦΕΡΕΙΑ!$B$2:$B$14)</f>
        <v>Μερική</v>
      </c>
      <c r="J153">
        <f t="shared" si="18"/>
        <v>152</v>
      </c>
      <c r="K153" s="193">
        <f t="shared" si="15"/>
        <v>185</v>
      </c>
      <c r="L153" t="str">
        <f t="shared" si="16"/>
        <v>ΚΕΝΤΡΙΚΗΣ ΜΑΚΕΔΟΝΙΑΣ</v>
      </c>
      <c r="M153" t="str">
        <f t="shared" si="17"/>
        <v>ΚΕΝΤΡΙΚΗΣ ΜΑΚΕΔΟΝΙΑΣ - ΒΙΣΑΛΤΙΑΣ</v>
      </c>
      <c r="N153" s="191">
        <f t="shared" si="19"/>
        <v>14018</v>
      </c>
      <c r="O153" s="191" t="str">
        <f t="shared" si="20"/>
        <v>Βισαλτίας</v>
      </c>
    </row>
    <row r="154" spans="1:15" x14ac:dyDescent="0.25">
      <c r="A154" s="19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1" t="s">
        <v>732</v>
      </c>
      <c r="G154" s="191">
        <v>14102</v>
      </c>
      <c r="H154" t="str">
        <f>_xlfn.IFNA(INDEX(DimosNaiOxi,MATCH(ΤΚ!E154,DimosNai,0)),"")</f>
        <v>ΝΑΙ</v>
      </c>
      <c r="I154" t="str">
        <f>LOOKUP(B154,ΠΕΡΙΦΕΡΕΙΑ!$A$2:$A$14,ΠΕΡΙΦΕΡΕΙΑ!$B$2:$B$14)</f>
        <v>Μερική</v>
      </c>
      <c r="J154">
        <f t="shared" si="18"/>
        <v>153</v>
      </c>
      <c r="K154" s="193">
        <f t="shared" si="15"/>
        <v>186</v>
      </c>
      <c r="L154" t="str">
        <f t="shared" si="16"/>
        <v>ΚΕΝΤΡΙΚΗΣ ΜΑΚΕΔΟΝΙΑΣ</v>
      </c>
      <c r="M154" t="str">
        <f t="shared" si="17"/>
        <v>ΚΕΝΤΡΙΚΗΣ ΜΑΚΕΔΟΝΙΑΣ - ΒΟΛΒΗΣ</v>
      </c>
      <c r="N154" s="191">
        <f t="shared" si="19"/>
        <v>14030</v>
      </c>
      <c r="O154" s="191" t="str">
        <f t="shared" si="20"/>
        <v>Βόλβης</v>
      </c>
    </row>
    <row r="155" spans="1:15" x14ac:dyDescent="0.25">
      <c r="A155" s="19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1" t="s">
        <v>733</v>
      </c>
      <c r="G155" s="191">
        <v>14182</v>
      </c>
      <c r="H155" t="str">
        <f>_xlfn.IFNA(INDEX(DimosNaiOxi,MATCH(ΤΚ!E155,DimosNai,0)),"")</f>
        <v>ΝΑΙ</v>
      </c>
      <c r="I155" t="str">
        <f>LOOKUP(B155,ΠΕΡΙΦΕΡΕΙΑ!$A$2:$A$14,ΠΕΡΙΦΕΡΕΙΑ!$B$2:$B$14)</f>
        <v>Μερική</v>
      </c>
      <c r="J155">
        <f t="shared" si="18"/>
        <v>154</v>
      </c>
      <c r="K155" s="193">
        <f t="shared" si="15"/>
        <v>187</v>
      </c>
      <c r="L155" t="str">
        <f t="shared" si="16"/>
        <v>ΚΕΝΤΡΙΚΗΣ ΜΑΚΕΔΟΝΙΑΣ</v>
      </c>
      <c r="M155" t="str">
        <f t="shared" si="17"/>
        <v>ΚΕΝΤΡΙΚΗΣ ΜΑΚΕΔΟΝΙΑΣ - ΔΕΛΤΑ</v>
      </c>
      <c r="N155" s="191">
        <f t="shared" si="19"/>
        <v>14050</v>
      </c>
      <c r="O155" s="191" t="str">
        <f t="shared" si="20"/>
        <v>Δέλτα</v>
      </c>
    </row>
    <row r="156" spans="1:15" x14ac:dyDescent="0.25">
      <c r="A156" s="19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1" t="s">
        <v>734</v>
      </c>
      <c r="G156" s="191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3">
        <f t="shared" si="15"/>
        <v>188</v>
      </c>
      <c r="L156" t="str">
        <f t="shared" si="16"/>
        <v>ΚΕΝΤΡΙΚΗΣ ΜΑΚΕΔΟΝΙΑΣ</v>
      </c>
      <c r="M156" t="str">
        <f t="shared" si="17"/>
        <v>ΚΕΝΤΡΙΚΗΣ ΜΑΚΕΔΟΝΙΑΣ - ΔΙΟΥ – ΟΛΥΜΠΟΥ</v>
      </c>
      <c r="N156" s="191">
        <f t="shared" si="19"/>
        <v>14062</v>
      </c>
      <c r="O156" s="191" t="str">
        <f t="shared" si="20"/>
        <v>Δίου - Ολύμπου</v>
      </c>
    </row>
    <row r="157" spans="1:15" x14ac:dyDescent="0.25">
      <c r="A157" s="19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1" t="s">
        <v>735</v>
      </c>
      <c r="G157" s="191">
        <v>14210</v>
      </c>
      <c r="H157" t="str">
        <f>_xlfn.IFNA(INDEX(DimosNaiOxi,MATCH(ΤΚ!E157,DimosNai,0)),"")</f>
        <v>ΝΑΙ</v>
      </c>
      <c r="I157" t="str">
        <f>LOOKUP(B157,ΠΕΡΙΦΕΡΕΙΑ!$A$2:$A$14,ΠΕΡΙΦΕΡΕΙΑ!$B$2:$B$14)</f>
        <v>Μερική</v>
      </c>
      <c r="J157">
        <f t="shared" si="18"/>
        <v>156</v>
      </c>
      <c r="K157" s="193">
        <f t="shared" si="15"/>
        <v>189</v>
      </c>
      <c r="L157" t="str">
        <f t="shared" si="16"/>
        <v>ΚΕΝΤΡΙΚΗΣ ΜΑΚΕΔΟΝΙΑΣ</v>
      </c>
      <c r="M157" t="str">
        <f t="shared" si="17"/>
        <v>ΚΕΝΤΡΙΚΗΣ ΜΑΚΕΔΟΝΙΑΣ - ΕΔΕΣΣΑΣ</v>
      </c>
      <c r="N157" s="191">
        <f t="shared" si="19"/>
        <v>14080</v>
      </c>
      <c r="O157" s="191" t="str">
        <f t="shared" si="20"/>
        <v>Έδεσσας</v>
      </c>
    </row>
    <row r="158" spans="1:15" x14ac:dyDescent="0.25">
      <c r="A158" s="19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1" t="s">
        <v>736</v>
      </c>
      <c r="G158" s="191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3">
        <f t="shared" si="15"/>
        <v>190</v>
      </c>
      <c r="L158" t="str">
        <f t="shared" si="16"/>
        <v>ΚΕΝΤΡΙΚΗΣ ΜΑΚΕΔΟΝΙΑΣ</v>
      </c>
      <c r="M158" t="str">
        <f t="shared" si="17"/>
        <v>ΚΕΝΤΡΙΚΗΣ ΜΑΚΕΔΟΝΙΑΣ - ΕΜΜΑΝΟΥΗΛ ΠΑΠΠΑ</v>
      </c>
      <c r="N158" s="191">
        <f t="shared" si="19"/>
        <v>14088</v>
      </c>
      <c r="O158" s="191" t="str">
        <f t="shared" si="20"/>
        <v>Εμμανουήλ Παππά</v>
      </c>
    </row>
    <row r="159" spans="1:15" x14ac:dyDescent="0.25">
      <c r="A159" s="19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1" t="s">
        <v>737</v>
      </c>
      <c r="G159" s="19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3">
        <f t="shared" si="15"/>
        <v>191</v>
      </c>
      <c r="L159" t="str">
        <f t="shared" si="16"/>
        <v>ΚΕΝΤΡΙΚΗΣ ΜΑΚΕΔΟΝΙΑΣ</v>
      </c>
      <c r="M159" t="str">
        <f t="shared" si="17"/>
        <v>ΚΕΝΤΡΙΚΗΣ ΜΑΚΕΔΟΝΙΑΣ - ΗΡΑΚΛΕΙΑΣ</v>
      </c>
      <c r="N159" s="191">
        <f t="shared" si="19"/>
        <v>13914</v>
      </c>
      <c r="O159" s="191" t="str">
        <f t="shared" si="20"/>
        <v>Ηρακλείας</v>
      </c>
    </row>
    <row r="160" spans="1:15" x14ac:dyDescent="0.25">
      <c r="A160" s="19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1" t="s">
        <v>738</v>
      </c>
      <c r="G160" s="191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3">
        <f t="shared" si="15"/>
        <v>192</v>
      </c>
      <c r="L160" t="str">
        <f t="shared" si="16"/>
        <v>ΚΕΝΤΡΙΚΗΣ ΜΑΚΕΔΟΝΙΑΣ</v>
      </c>
      <c r="M160" t="str">
        <f t="shared" si="17"/>
        <v>ΚΕΝΤΡΙΚΗΣ ΜΑΚΕΔΟΝΙΑΣ - ΘΕΡΜΑΪΚΟΥ</v>
      </c>
      <c r="N160" s="191">
        <f t="shared" si="19"/>
        <v>14126</v>
      </c>
      <c r="O160" s="191" t="str">
        <f t="shared" si="20"/>
        <v>Θερμαϊκού</v>
      </c>
    </row>
    <row r="161" spans="1:15" x14ac:dyDescent="0.25">
      <c r="A161" s="19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1" t="s">
        <v>739</v>
      </c>
      <c r="G161" s="191">
        <v>14342</v>
      </c>
      <c r="H161" t="str">
        <f>_xlfn.IFNA(INDEX(DimosNaiOxi,MATCH(ΤΚ!E161,DimosNai,0)),"")</f>
        <v>ΝΑΙ</v>
      </c>
      <c r="I161" t="str">
        <f>LOOKUP(B161,ΠΕΡΙΦΕΡΕΙΑ!$A$2:$A$14,ΠΕΡΙΦΕΡΕΙΑ!$B$2:$B$14)</f>
        <v>Μερική</v>
      </c>
      <c r="J161">
        <f t="shared" si="18"/>
        <v>160</v>
      </c>
      <c r="K161" s="193">
        <f t="shared" si="15"/>
        <v>193</v>
      </c>
      <c r="L161" t="str">
        <f t="shared" si="16"/>
        <v>ΚΕΝΤΡΙΚΗΣ ΜΑΚΕΔΟΝΙΑΣ</v>
      </c>
      <c r="M161" t="str">
        <f t="shared" si="17"/>
        <v>ΚΕΝΤΡΙΚΗΣ ΜΑΚΕΔΟΝΙΑΣ - ΘΕΡΜΗΣ</v>
      </c>
      <c r="N161" s="191">
        <f t="shared" si="19"/>
        <v>14128</v>
      </c>
      <c r="O161" s="191" t="str">
        <f t="shared" si="20"/>
        <v>Θέρμης</v>
      </c>
    </row>
    <row r="162" spans="1:15" x14ac:dyDescent="0.25">
      <c r="A162" s="19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1" t="s">
        <v>740</v>
      </c>
      <c r="G162" s="191">
        <v>14388</v>
      </c>
      <c r="H162" t="str">
        <f>_xlfn.IFNA(INDEX(DimosNaiOxi,MATCH(ΤΚ!E162,DimosNai,0)),"")</f>
        <v>ΝΑΙ</v>
      </c>
      <c r="I162" t="str">
        <f>LOOKUP(B162,ΠΕΡΙΦΕΡΕΙΑ!$A$2:$A$14,ΠΕΡΙΦΕΡΕΙΑ!$B$2:$B$14)</f>
        <v>Μερική</v>
      </c>
      <c r="J162">
        <f t="shared" si="18"/>
        <v>161</v>
      </c>
      <c r="K162" s="193">
        <f t="shared" si="15"/>
        <v>194</v>
      </c>
      <c r="L162" t="str">
        <f t="shared" si="16"/>
        <v>ΚΕΝΤΡΙΚΗΣ ΜΑΚΕΔΟΝΙΑΣ</v>
      </c>
      <c r="M162" t="str">
        <f t="shared" si="17"/>
        <v>ΚΕΝΤΡΙΚΗΣ ΜΑΚΕΔΟΝΙΑΣ - ΘΕΣΣΑΛΟΝΙΚΗΣ</v>
      </c>
      <c r="N162" s="191">
        <f t="shared" si="19"/>
        <v>14130</v>
      </c>
      <c r="O162" s="191" t="str">
        <f t="shared" si="20"/>
        <v>Θεσσαλονίκης</v>
      </c>
    </row>
    <row r="163" spans="1:15" x14ac:dyDescent="0.25">
      <c r="A163" s="19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1" t="s">
        <v>741</v>
      </c>
      <c r="G163" s="191">
        <v>14374</v>
      </c>
      <c r="H163" t="str">
        <f>_xlfn.IFNA(INDEX(DimosNaiOxi,MATCH(ΤΚ!E163,DimosNai,0)),"")</f>
        <v>ΝΑΙ</v>
      </c>
      <c r="I163" t="str">
        <f>LOOKUP(B163,ΠΕΡΙΦΕΡΕΙΑ!$A$2:$A$14,ΠΕΡΙΦΕΡΕΙΑ!$B$2:$B$14)</f>
        <v>Μερική</v>
      </c>
      <c r="J163">
        <f t="shared" si="18"/>
        <v>162</v>
      </c>
      <c r="K163" s="193">
        <f t="shared" si="15"/>
        <v>195</v>
      </c>
      <c r="L163" t="str">
        <f t="shared" si="16"/>
        <v>ΚΕΝΤΡΙΚΗΣ ΜΑΚΕΔΟΝΙΑΣ</v>
      </c>
      <c r="M163" t="str">
        <f t="shared" si="17"/>
        <v>ΚΕΝΤΡΙΚΗΣ ΜΑΚΕΔΟΝΙΑΣ - ΚΑΛΑΜΑΡΙΑΣ</v>
      </c>
      <c r="N163" s="191">
        <f t="shared" si="19"/>
        <v>14176</v>
      </c>
      <c r="O163" s="191" t="str">
        <f t="shared" si="20"/>
        <v>Καλαμαριάς</v>
      </c>
    </row>
    <row r="164" spans="1:15" x14ac:dyDescent="0.25">
      <c r="A164" s="19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1" t="s">
        <v>742</v>
      </c>
      <c r="G164" s="191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3">
        <f t="shared" si="15"/>
        <v>196</v>
      </c>
      <c r="L164" t="str">
        <f t="shared" si="16"/>
        <v>ΚΕΝΤΡΙΚΗΣ ΜΑΚΕΔΟΝΙΑΣ</v>
      </c>
      <c r="M164" t="str">
        <f t="shared" si="17"/>
        <v>ΚΕΝΤΡΙΚΗΣ ΜΑΚΕΔΟΝΙΑΣ - ΚΑΣΣΑΝΔΡΑΣ</v>
      </c>
      <c r="N164" s="191">
        <f t="shared" si="19"/>
        <v>14192</v>
      </c>
      <c r="O164" s="191" t="str">
        <f t="shared" si="20"/>
        <v>Κασσάνδρας</v>
      </c>
    </row>
    <row r="165" spans="1:15" x14ac:dyDescent="0.25">
      <c r="A165" s="19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1" t="s">
        <v>743</v>
      </c>
      <c r="G165" s="191">
        <v>14466</v>
      </c>
      <c r="H165" t="str">
        <f>_xlfn.IFNA(INDEX(DimosNaiOxi,MATCH(ΤΚ!E165,DimosNai,0)),"")</f>
        <v>ΝΑΙ</v>
      </c>
      <c r="I165" t="str">
        <f>LOOKUP(B165,ΠΕΡΙΦΕΡΕΙΑ!$A$2:$A$14,ΠΕΡΙΦΕΡΕΙΑ!$B$2:$B$14)</f>
        <v>Μερική</v>
      </c>
      <c r="J165">
        <f t="shared" si="18"/>
        <v>164</v>
      </c>
      <c r="K165" s="193">
        <f t="shared" si="15"/>
        <v>197</v>
      </c>
      <c r="L165" t="str">
        <f t="shared" si="16"/>
        <v>ΚΕΝΤΡΙΚΗΣ ΜΑΚΕΔΟΝΙΑΣ</v>
      </c>
      <c r="M165" t="str">
        <f t="shared" si="17"/>
        <v>ΚΕΝΤΡΙΚΗΣ ΜΑΚΕΔΟΝΙΑΣ - ΚΑΤΕΡΙΝΗΣ</v>
      </c>
      <c r="N165" s="191">
        <f t="shared" si="19"/>
        <v>14200</v>
      </c>
      <c r="O165" s="191" t="str">
        <f t="shared" si="20"/>
        <v>Κατερίνης</v>
      </c>
    </row>
    <row r="166" spans="1:15" x14ac:dyDescent="0.25">
      <c r="A166" s="19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1" t="s">
        <v>744</v>
      </c>
      <c r="G166" s="19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3">
        <f t="shared" si="15"/>
        <v>198</v>
      </c>
      <c r="L166" t="str">
        <f t="shared" si="16"/>
        <v>ΚΕΝΤΡΙΚΗΣ ΜΑΚΕΔΟΝΙΑΣ</v>
      </c>
      <c r="M166" t="str">
        <f t="shared" si="17"/>
        <v>ΚΕΝΤΡΙΚΗΣ ΜΑΚΕΔΟΝΙΑΣ - ΚΙΛΚΙΣ</v>
      </c>
      <c r="N166" s="191">
        <f t="shared" si="19"/>
        <v>14212</v>
      </c>
      <c r="O166" s="191" t="str">
        <f t="shared" si="20"/>
        <v>Κιλκίς</v>
      </c>
    </row>
    <row r="167" spans="1:15" x14ac:dyDescent="0.25">
      <c r="A167" s="19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1" t="s">
        <v>745</v>
      </c>
      <c r="G167" s="191">
        <v>14476</v>
      </c>
      <c r="H167" t="str">
        <f>_xlfn.IFNA(INDEX(DimosNaiOxi,MATCH(ΤΚ!E167,DimosNai,0)),"")</f>
        <v>ΝΑΙ</v>
      </c>
      <c r="I167" t="str">
        <f>LOOKUP(B167,ΠΕΡΙΦΕΡΕΙΑ!$A$2:$A$14,ΠΕΡΙΦΕΡΕΙΑ!$B$2:$B$14)</f>
        <v>Μερική</v>
      </c>
      <c r="J167">
        <f t="shared" si="18"/>
        <v>166</v>
      </c>
      <c r="K167" s="193">
        <f t="shared" si="15"/>
        <v>199</v>
      </c>
      <c r="L167" t="str">
        <f t="shared" si="16"/>
        <v>ΚΕΝΤΡΙΚΗΣ ΜΑΚΕΔΟΝΙΑΣ</v>
      </c>
      <c r="M167" t="str">
        <f t="shared" si="17"/>
        <v>ΚΕΝΤΡΙΚΗΣ ΜΑΚΕΔΟΝΙΑΣ - ΚΟΡΔΕΛΙΟΥ – ΕΥΟΣΜΟΥ</v>
      </c>
      <c r="N167" s="191">
        <f t="shared" si="19"/>
        <v>14224</v>
      </c>
      <c r="O167" s="191" t="str">
        <f t="shared" si="20"/>
        <v>Κορδελιού - Ευόσμου</v>
      </c>
    </row>
    <row r="168" spans="1:15" x14ac:dyDescent="0.25">
      <c r="A168" s="19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1" t="s">
        <v>746</v>
      </c>
      <c r="G168" s="191">
        <v>14490</v>
      </c>
      <c r="H168" t="str">
        <f>_xlfn.IFNA(INDEX(DimosNaiOxi,MATCH(ΤΚ!E168,DimosNai,0)),"")</f>
        <v>ΝΑΙ</v>
      </c>
      <c r="I168" t="str">
        <f>LOOKUP(B168,ΠΕΡΙΦΕΡΕΙΑ!$A$2:$A$14,ΠΕΡΙΦΕΡΕΙΑ!$B$2:$B$14)</f>
        <v>Μερική</v>
      </c>
      <c r="J168">
        <f t="shared" si="18"/>
        <v>167</v>
      </c>
      <c r="K168" s="193">
        <f t="shared" si="15"/>
        <v>200</v>
      </c>
      <c r="L168" t="str">
        <f t="shared" si="16"/>
        <v>ΚΕΝΤΡΙΚΗΣ ΜΑΚΕΔΟΝΙΑΣ</v>
      </c>
      <c r="M168" t="str">
        <f t="shared" si="17"/>
        <v>ΚΕΝΤΡΙΚΗΣ ΜΑΚΕΔΟΝΙΑΣ - ΛΑΓΚΑΔΑ</v>
      </c>
      <c r="N168" s="191">
        <f t="shared" si="19"/>
        <v>14172</v>
      </c>
      <c r="O168" s="191" t="str">
        <f t="shared" si="20"/>
        <v>Λαγκαδά</v>
      </c>
    </row>
    <row r="169" spans="1:15" x14ac:dyDescent="0.25">
      <c r="A169" s="19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1" t="s">
        <v>747</v>
      </c>
      <c r="G169" s="191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3">
        <f t="shared" si="15"/>
        <v>201</v>
      </c>
      <c r="L169" t="str">
        <f t="shared" si="16"/>
        <v>ΚΕΝΤΡΙΚΗΣ ΜΑΚΕΔΟΝΙΑΣ</v>
      </c>
      <c r="M169" t="str">
        <f t="shared" si="17"/>
        <v>ΚΕΝΤΡΙΚΗΣ ΜΑΚΕΔΟΝΙΑΣ - ΝΑΟΥΣΑΣ</v>
      </c>
      <c r="N169" s="191">
        <f t="shared" si="19"/>
        <v>14272</v>
      </c>
      <c r="O169" s="191" t="str">
        <f t="shared" si="20"/>
        <v>Νάουσας</v>
      </c>
    </row>
    <row r="170" spans="1:15" x14ac:dyDescent="0.25">
      <c r="A170" s="19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1" t="s">
        <v>748</v>
      </c>
      <c r="G170" s="191">
        <v>14506</v>
      </c>
      <c r="H170" t="str">
        <f>_xlfn.IFNA(INDEX(DimosNaiOxi,MATCH(ΤΚ!E170,DimosNai,0)),"")</f>
        <v>ΝΑΙ</v>
      </c>
      <c r="I170" t="str">
        <f>LOOKUP(B170,ΠΕΡΙΦΕΡΕΙΑ!$A$2:$A$14,ΠΕΡΙΦΕΡΕΙΑ!$B$2:$B$14)</f>
        <v>Μερική</v>
      </c>
      <c r="J170">
        <f t="shared" si="18"/>
        <v>169</v>
      </c>
      <c r="K170" s="193">
        <f t="shared" si="15"/>
        <v>202</v>
      </c>
      <c r="L170" t="str">
        <f t="shared" si="16"/>
        <v>ΚΕΝΤΡΙΚΗΣ ΜΑΚΕΔΟΝΙΑΣ</v>
      </c>
      <c r="M170" t="str">
        <f t="shared" si="17"/>
        <v>ΚΕΝΤΡΙΚΗΣ ΜΑΚΕΔΟΝΙΑΣ - ΝΕΑΠΟΛΗΣ – ΣΥΚΕΩΝ</v>
      </c>
      <c r="N170" s="191">
        <f t="shared" si="19"/>
        <v>14332</v>
      </c>
      <c r="O170" s="191" t="str">
        <f t="shared" si="20"/>
        <v>Νέαπολης - Συκεών</v>
      </c>
    </row>
    <row r="171" spans="1:15" x14ac:dyDescent="0.25">
      <c r="A171" s="19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1" t="s">
        <v>749</v>
      </c>
      <c r="G171" s="191">
        <v>13916</v>
      </c>
      <c r="H171" t="str">
        <f>_xlfn.IFNA(INDEX(DimosNaiOxi,MATCH(ΤΚ!E171,DimosNai,0)),"")</f>
        <v>ΝΑΙ</v>
      </c>
      <c r="I171" t="str">
        <f>LOOKUP(B171,ΠΕΡΙΦΕΡΕΙΑ!$A$2:$A$14,ΠΕΡΙΦΕΡΕΙΑ!$B$2:$B$14)</f>
        <v>Μερική</v>
      </c>
      <c r="J171">
        <f t="shared" si="18"/>
        <v>170</v>
      </c>
      <c r="K171" s="193">
        <f t="shared" si="15"/>
        <v>204</v>
      </c>
      <c r="L171" t="str">
        <f t="shared" si="16"/>
        <v>ΚΕΝΤΡΙΚΗΣ ΜΑΚΕΔΟΝΙΑΣ</v>
      </c>
      <c r="M171" t="str">
        <f t="shared" si="17"/>
        <v>ΚΕΝΤΡΙΚΗΣ ΜΑΚΕΔΟΝΙΑΣ - ΝΕΑΣ ΠΡΟΠΟΝΤΙΔΑΣ</v>
      </c>
      <c r="N171" s="191">
        <f t="shared" si="19"/>
        <v>14318</v>
      </c>
      <c r="O171" s="191" t="str">
        <f t="shared" si="20"/>
        <v>Νέας Προποντίδας</v>
      </c>
    </row>
    <row r="172" spans="1:15" x14ac:dyDescent="0.25">
      <c r="A172" s="19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1" t="s">
        <v>750</v>
      </c>
      <c r="G172" s="191">
        <v>14512</v>
      </c>
      <c r="H172" t="str">
        <f>_xlfn.IFNA(INDEX(DimosNaiOxi,MATCH(ΤΚ!E172,DimosNai,0)),"")</f>
        <v>ΝΑΙ</v>
      </c>
      <c r="I172" t="str">
        <f>LOOKUP(B172,ΠΕΡΙΦΕΡΕΙΑ!$A$2:$A$14,ΠΕΡΙΦΕΡΕΙΑ!$B$2:$B$14)</f>
        <v>Μερική</v>
      </c>
      <c r="J172">
        <f t="shared" si="18"/>
        <v>171</v>
      </c>
      <c r="K172" s="193">
        <f t="shared" si="15"/>
        <v>205</v>
      </c>
      <c r="L172" t="str">
        <f t="shared" si="16"/>
        <v>ΚΕΝΤΡΙΚΗΣ ΜΑΚΕΔΟΝΙΑΣ</v>
      </c>
      <c r="M172" t="str">
        <f t="shared" si="17"/>
        <v>ΚΕΝΤΡΙΚΗΣ ΜΑΚΕΔΟΝΙΑΣ - ΠΑΙΟΝΙΑΣ</v>
      </c>
      <c r="N172" s="191">
        <f t="shared" si="19"/>
        <v>14384</v>
      </c>
      <c r="O172" s="191" t="str">
        <f t="shared" si="20"/>
        <v>Παιονίας</v>
      </c>
    </row>
    <row r="173" spans="1:15" x14ac:dyDescent="0.25">
      <c r="A173" s="19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1" t="s">
        <v>751</v>
      </c>
      <c r="G173" s="191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3">
        <f t="shared" si="15"/>
        <v>206</v>
      </c>
      <c r="L173" t="str">
        <f t="shared" si="16"/>
        <v>ΚΕΝΤΡΙΚΗΣ ΜΑΚΕΔΟΝΙΑΣ</v>
      </c>
      <c r="M173" t="str">
        <f t="shared" si="17"/>
        <v>ΚΕΝΤΡΙΚΗΣ ΜΑΚΕΔΟΝΙΑΣ - ΠΑΥΛΟΥ ΜΕΛΑ</v>
      </c>
      <c r="N173" s="191">
        <f t="shared" si="19"/>
        <v>14368</v>
      </c>
      <c r="O173" s="191" t="str">
        <f t="shared" si="20"/>
        <v>Παύλου Μελά</v>
      </c>
    </row>
    <row r="174" spans="1:15" x14ac:dyDescent="0.25">
      <c r="A174" s="19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1" t="s">
        <v>752</v>
      </c>
      <c r="G174" s="19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3">
        <f t="shared" si="15"/>
        <v>207</v>
      </c>
      <c r="L174" t="str">
        <f t="shared" si="16"/>
        <v>ΚΕΝΤΡΙΚΗΣ ΜΑΚΕΔΟΝΙΑΣ</v>
      </c>
      <c r="M174" t="str">
        <f t="shared" si="17"/>
        <v>ΚΕΝΤΡΙΚΗΣ ΜΑΚΕΔΟΝΙΑΣ - ΠΕΛΛΑΣ</v>
      </c>
      <c r="N174" s="191">
        <f t="shared" si="19"/>
        <v>14382</v>
      </c>
      <c r="O174" s="191" t="str">
        <f t="shared" si="20"/>
        <v>Πέλλας</v>
      </c>
    </row>
    <row r="175" spans="1:15" x14ac:dyDescent="0.25">
      <c r="A175" s="19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1" t="s">
        <v>753</v>
      </c>
      <c r="G175" s="191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3">
        <f t="shared" si="15"/>
        <v>208</v>
      </c>
      <c r="L175" t="str">
        <f t="shared" si="16"/>
        <v>ΚΕΝΤΡΙΚΗΣ ΜΑΚΕΔΟΝΙΑΣ</v>
      </c>
      <c r="M175" t="str">
        <f t="shared" si="17"/>
        <v>ΚΕΝΤΡΙΚΗΣ ΜΑΚΕΔΟΝΙΑΣ - ΠΟΛΥΓΥΡΟΥ</v>
      </c>
      <c r="N175" s="191">
        <f t="shared" si="19"/>
        <v>14414</v>
      </c>
      <c r="O175" s="191" t="str">
        <f t="shared" si="20"/>
        <v>Πολυγύρου</v>
      </c>
    </row>
    <row r="176" spans="1:15" x14ac:dyDescent="0.25">
      <c r="A176" s="19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1" t="s">
        <v>754</v>
      </c>
      <c r="G176" s="191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3">
        <f t="shared" si="15"/>
        <v>209</v>
      </c>
      <c r="L176" t="str">
        <f t="shared" si="16"/>
        <v>ΚΕΝΤΡΙΚΗΣ ΜΑΚΕΔΟΝΙΑΣ</v>
      </c>
      <c r="M176" t="str">
        <f t="shared" si="17"/>
        <v>ΚΕΝΤΡΙΚΗΣ ΜΑΚΕΔΟΝΙΑΣ - ΠΥΔΝΑΣ – ΚΟΛΙΝΔΡΟΥ</v>
      </c>
      <c r="N176" s="191">
        <f t="shared" si="19"/>
        <v>14422</v>
      </c>
      <c r="O176" s="191" t="str">
        <f t="shared" si="20"/>
        <v>Πύδνας - Κολινδρού</v>
      </c>
    </row>
    <row r="177" spans="1:15" x14ac:dyDescent="0.25">
      <c r="A177" s="19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1" t="s">
        <v>755</v>
      </c>
      <c r="G177" s="191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3">
        <f t="shared" si="15"/>
        <v>210</v>
      </c>
      <c r="L177" t="str">
        <f t="shared" si="16"/>
        <v>ΚΕΝΤΡΙΚΗΣ ΜΑΚΕΔΟΝΙΑΣ</v>
      </c>
      <c r="M177" t="str">
        <f t="shared" si="17"/>
        <v>ΚΕΝΤΡΙΚΗΣ ΜΑΚΕΔΟΝΙΑΣ - ΠΥΛΑΙΑΣ – ΧΟΡΤΙΑΤΗ</v>
      </c>
      <c r="N177" s="191">
        <f t="shared" si="19"/>
        <v>14424</v>
      </c>
      <c r="O177" s="191" t="str">
        <f t="shared" si="20"/>
        <v>Πυλαίας - Χορτιάτη</v>
      </c>
    </row>
    <row r="178" spans="1:15" x14ac:dyDescent="0.25">
      <c r="A178" s="19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1" t="s">
        <v>756</v>
      </c>
      <c r="G178" s="19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3">
        <f t="shared" si="15"/>
        <v>211</v>
      </c>
      <c r="L178" t="str">
        <f t="shared" si="16"/>
        <v>ΚΕΝΤΡΙΚΗΣ ΜΑΚΕΔΟΝΙΑΣ</v>
      </c>
      <c r="M178" t="str">
        <f t="shared" si="17"/>
        <v>ΚΕΝΤΡΙΚΗΣ ΜΑΚΕΔΟΝΙΑΣ - ΣΕΡΡΩΝ</v>
      </c>
      <c r="N178" s="191">
        <f t="shared" si="19"/>
        <v>14454</v>
      </c>
      <c r="O178" s="191" t="str">
        <f t="shared" si="20"/>
        <v>Σερρών</v>
      </c>
    </row>
    <row r="179" spans="1:15" x14ac:dyDescent="0.25">
      <c r="A179" s="19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1" t="s">
        <v>757</v>
      </c>
      <c r="G179" s="19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3">
        <f t="shared" si="15"/>
        <v>212</v>
      </c>
      <c r="L179" t="str">
        <f t="shared" si="16"/>
        <v>ΚΕΝΤΡΙΚΗΣ ΜΑΚΕΔΟΝΙΑΣ</v>
      </c>
      <c r="M179" t="str">
        <f t="shared" si="17"/>
        <v>ΚΕΝΤΡΙΚΗΣ ΜΑΚΕΔΟΝΙΑΣ - ΣΙΘΩΝΙΑΣ</v>
      </c>
      <c r="N179" s="191">
        <f t="shared" si="19"/>
        <v>14456</v>
      </c>
      <c r="O179" s="191" t="str">
        <f t="shared" si="20"/>
        <v>Σιθωνίας</v>
      </c>
    </row>
    <row r="180" spans="1:15" x14ac:dyDescent="0.25">
      <c r="A180" s="19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1" t="s">
        <v>758</v>
      </c>
      <c r="G180" s="191">
        <v>13918</v>
      </c>
      <c r="H180" t="str">
        <f>_xlfn.IFNA(INDEX(DimosNaiOxi,MATCH(ΤΚ!E180,DimosNai,0)),"")</f>
        <v>ΝΑΙ</v>
      </c>
      <c r="I180" t="str">
        <f>LOOKUP(B180,ΠΕΡΙΦΕΡΕΙΑ!$A$2:$A$14,ΠΕΡΙΦΕΡΕΙΑ!$B$2:$B$14)</f>
        <v>Μερική</v>
      </c>
      <c r="J180">
        <f t="shared" si="18"/>
        <v>179</v>
      </c>
      <c r="K180" s="193">
        <f t="shared" si="15"/>
        <v>213</v>
      </c>
      <c r="L180" t="str">
        <f t="shared" si="16"/>
        <v>ΚΕΝΤΡΙΚΗΣ ΜΑΚΕΔΟΝΙΑΣ</v>
      </c>
      <c r="M180" t="str">
        <f t="shared" si="17"/>
        <v>ΚΕΝΤΡΙΚΗΣ ΜΑΚΕΔΟΝΙΑΣ - ΣΙΝΤΙΚΗΣ</v>
      </c>
      <c r="N180" s="191">
        <f t="shared" si="19"/>
        <v>14462</v>
      </c>
      <c r="O180" s="191" t="str">
        <f t="shared" si="20"/>
        <v>Σιντικής</v>
      </c>
    </row>
    <row r="181" spans="1:15" x14ac:dyDescent="0.25">
      <c r="A181" s="19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1" t="s">
        <v>759</v>
      </c>
      <c r="G181" s="191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193">
        <f t="shared" si="15"/>
        <v>214</v>
      </c>
      <c r="L181" t="str">
        <f t="shared" si="16"/>
        <v>ΚΕΝΤΡΙΚΗΣ ΜΑΚΕΔΟΝΙΑΣ</v>
      </c>
      <c r="M181" t="str">
        <f t="shared" si="17"/>
        <v>ΚΕΝΤΡΙΚΗΣ ΜΑΚΕΔΟΝΙΑΣ - ΣΚΥΔΡΑΣ</v>
      </c>
      <c r="N181" s="191">
        <f t="shared" si="19"/>
        <v>14472</v>
      </c>
      <c r="O181" s="191" t="str">
        <f t="shared" si="20"/>
        <v>Σκύδρας</v>
      </c>
    </row>
    <row r="182" spans="1:15" x14ac:dyDescent="0.25">
      <c r="A182" s="19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1" t="s">
        <v>760</v>
      </c>
      <c r="G182" s="191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3">
        <f t="shared" si="15"/>
        <v>215</v>
      </c>
      <c r="L182" t="str">
        <f t="shared" si="16"/>
        <v>ΚΕΝΤΡΙΚΗΣ ΜΑΚΕΔΟΝΙΑΣ</v>
      </c>
      <c r="M182" t="str">
        <f t="shared" si="17"/>
        <v>ΚΕΝΤΡΙΚΗΣ ΜΑΚΕΔΟΝΙΑΣ - ΧΑΛΚΗΔΟΝΟΣ</v>
      </c>
      <c r="N182" s="191">
        <f t="shared" si="19"/>
        <v>14544</v>
      </c>
      <c r="O182" s="191" t="str">
        <f t="shared" si="20"/>
        <v>Χαλκηδόνος</v>
      </c>
    </row>
    <row r="183" spans="1:15" x14ac:dyDescent="0.25">
      <c r="A183" s="19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1" t="s">
        <v>761</v>
      </c>
      <c r="G183" s="191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3">
        <f t="shared" si="15"/>
        <v>216</v>
      </c>
      <c r="L183" t="str">
        <f t="shared" si="16"/>
        <v>ΚΕΝΤΡΙΚΗΣ ΜΑΚΕΔΟΝΙΑΣ</v>
      </c>
      <c r="M183" t="str">
        <f t="shared" si="17"/>
        <v>ΚΕΝΤΡΙΚΗΣ ΜΑΚΕΔΟΝΙΑΣ - ΩΡΑΙΟΚΑΣΤΡΟΥ</v>
      </c>
      <c r="N183" s="191">
        <f t="shared" si="19"/>
        <v>14534</v>
      </c>
      <c r="O183" s="191" t="str">
        <f t="shared" si="20"/>
        <v>Ωραιοκάστρου</v>
      </c>
    </row>
    <row r="184" spans="1:15" x14ac:dyDescent="0.25">
      <c r="A184" s="19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1" t="s">
        <v>762</v>
      </c>
      <c r="G184" s="191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Μερική</v>
      </c>
      <c r="J184" t="str">
        <f t="shared" si="18"/>
        <v/>
      </c>
      <c r="K184" s="193">
        <f t="shared" si="15"/>
        <v>217</v>
      </c>
      <c r="L184" t="str">
        <f t="shared" si="16"/>
        <v>ΚΡΗΤΗΣ</v>
      </c>
      <c r="M184" t="str">
        <f t="shared" si="17"/>
        <v>ΚΡΗΤΗΣ - ΑΓΙΟΥ ΒΑΣΙΛΕΙΟΥ</v>
      </c>
      <c r="N184" s="191">
        <f t="shared" si="19"/>
        <v>14554</v>
      </c>
      <c r="O184" s="191" t="str">
        <f t="shared" si="20"/>
        <v>Αγίου Βασιλείου</v>
      </c>
    </row>
    <row r="185" spans="1:15" x14ac:dyDescent="0.25">
      <c r="A185" s="19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1" t="s">
        <v>763</v>
      </c>
      <c r="G185" s="191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3">
        <f t="shared" si="15"/>
        <v>218</v>
      </c>
      <c r="L185" t="str">
        <f t="shared" si="16"/>
        <v>ΚΡΗΤΗΣ</v>
      </c>
      <c r="M185" t="str">
        <f t="shared" si="17"/>
        <v>ΚΡΗΤΗΣ - ΑΓΙΟΥ ΝΙΚΟΛΑΟΥ</v>
      </c>
      <c r="N185" s="191">
        <f t="shared" si="19"/>
        <v>13930</v>
      </c>
      <c r="O185" s="191" t="str">
        <f t="shared" si="20"/>
        <v>Αγίου Νικολάου</v>
      </c>
    </row>
    <row r="186" spans="1:15" x14ac:dyDescent="0.25">
      <c r="A186" s="19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1" t="s">
        <v>764</v>
      </c>
      <c r="G186" s="191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3">
        <f t="shared" si="15"/>
        <v>219</v>
      </c>
      <c r="L186" t="str">
        <f t="shared" si="16"/>
        <v>ΚΡΗΤΗΣ</v>
      </c>
      <c r="M186" t="str">
        <f t="shared" si="17"/>
        <v>ΚΡΗΤΗΣ - ΑΜΑΡΙΟΥ</v>
      </c>
      <c r="N186" s="191">
        <f t="shared" si="19"/>
        <v>13962</v>
      </c>
      <c r="O186" s="191" t="str">
        <f t="shared" si="20"/>
        <v>Αμάριου</v>
      </c>
    </row>
    <row r="187" spans="1:15" x14ac:dyDescent="0.25">
      <c r="A187" s="19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1" t="s">
        <v>765</v>
      </c>
      <c r="G187" s="191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3">
        <f t="shared" si="15"/>
        <v>220</v>
      </c>
      <c r="L187" t="str">
        <f t="shared" si="16"/>
        <v>ΚΡΗΤΗΣ</v>
      </c>
      <c r="M187" t="str">
        <f t="shared" si="17"/>
        <v>ΚΡΗΤΗΣ - ΑΝΩΓΕΙΩΝ</v>
      </c>
      <c r="N187" s="191">
        <f t="shared" si="19"/>
        <v>13908</v>
      </c>
      <c r="O187" s="191" t="str">
        <f t="shared" si="20"/>
        <v>Ανωγείων</v>
      </c>
    </row>
    <row r="188" spans="1:15" x14ac:dyDescent="0.25">
      <c r="A188" s="19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1" t="s">
        <v>766</v>
      </c>
      <c r="G188" s="191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3">
        <f t="shared" si="15"/>
        <v>221</v>
      </c>
      <c r="L188" t="str">
        <f t="shared" si="16"/>
        <v>ΚΡΗΤΗΣ</v>
      </c>
      <c r="M188" t="str">
        <f t="shared" si="17"/>
        <v>ΚΡΗΤΗΣ - ΑΠΟΚΟΡΩΝΟΥ</v>
      </c>
      <c r="N188" s="191">
        <f t="shared" si="19"/>
        <v>13990</v>
      </c>
      <c r="O188" s="191" t="str">
        <f t="shared" si="20"/>
        <v>Αποκορώνου</v>
      </c>
    </row>
    <row r="189" spans="1:15" x14ac:dyDescent="0.25">
      <c r="A189" s="19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1" t="s">
        <v>767</v>
      </c>
      <c r="G189" s="191">
        <v>14062</v>
      </c>
      <c r="H189" t="str">
        <f>_xlfn.IFNA(INDEX(DimosNaiOxi,MATCH(ΤΚ!E189,DimosNai,0)),"")</f>
        <v>ΝΑΙ</v>
      </c>
      <c r="I189" t="str">
        <f>LOOKUP(B189,ΠΕΡΙΦΕΡΕΙΑ!$A$2:$A$14,ΠΕΡΙΦΕΡΕΙΑ!$B$2:$B$14)</f>
        <v>Μερική</v>
      </c>
      <c r="J189">
        <f t="shared" si="18"/>
        <v>188</v>
      </c>
      <c r="K189" s="193">
        <f t="shared" si="15"/>
        <v>222</v>
      </c>
      <c r="L189" t="str">
        <f t="shared" si="16"/>
        <v>ΚΡΗΤΗΣ</v>
      </c>
      <c r="M189" t="str">
        <f t="shared" si="17"/>
        <v>ΚΡΗΤΗΣ - ΑΡΧΑΝΩΝ – ΑΣΤΕΡΟΥΣΙΩΝ</v>
      </c>
      <c r="N189" s="191">
        <f t="shared" si="19"/>
        <v>14002</v>
      </c>
      <c r="O189" s="191" t="str">
        <f t="shared" si="20"/>
        <v>Αρχανών - Αστερουσίων</v>
      </c>
    </row>
    <row r="190" spans="1:15" x14ac:dyDescent="0.25">
      <c r="A190" s="19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1" t="s">
        <v>768</v>
      </c>
      <c r="G190" s="191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3">
        <f t="shared" si="15"/>
        <v>223</v>
      </c>
      <c r="L190" t="str">
        <f t="shared" si="16"/>
        <v>ΚΡΗΤΗΣ</v>
      </c>
      <c r="M190" t="str">
        <f t="shared" si="17"/>
        <v>ΚΡΗΤΗΣ - ΒΙΑΝΝΟΥ</v>
      </c>
      <c r="N190" s="191">
        <f t="shared" si="19"/>
        <v>14016</v>
      </c>
      <c r="O190" s="191" t="str">
        <f t="shared" si="20"/>
        <v>Βιάννου</v>
      </c>
    </row>
    <row r="191" spans="1:15" x14ac:dyDescent="0.25">
      <c r="A191" s="19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1" t="s">
        <v>769</v>
      </c>
      <c r="G191" s="191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3">
        <f t="shared" si="15"/>
        <v>225</v>
      </c>
      <c r="L191" t="str">
        <f t="shared" si="16"/>
        <v>ΚΡΗΤΗΣ</v>
      </c>
      <c r="M191" t="str">
        <f t="shared" si="17"/>
        <v>ΚΡΗΤΗΣ - ΓΟΡΤΥΝΑΣ</v>
      </c>
      <c r="N191" s="191">
        <f t="shared" si="19"/>
        <v>14044</v>
      </c>
      <c r="O191" s="191" t="str">
        <f t="shared" si="20"/>
        <v>Γόρτυνας</v>
      </c>
    </row>
    <row r="192" spans="1:15" x14ac:dyDescent="0.25">
      <c r="A192" s="19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1" t="s">
        <v>770</v>
      </c>
      <c r="G192" s="191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3">
        <f t="shared" si="15"/>
        <v>226</v>
      </c>
      <c r="L192" t="str">
        <f t="shared" si="16"/>
        <v>ΚΡΗΤΗΣ</v>
      </c>
      <c r="M192" t="str">
        <f t="shared" si="17"/>
        <v>ΚΡΗΤΗΣ - ΗΡΑΚΛΕΙΟΥ</v>
      </c>
      <c r="N192" s="191">
        <f t="shared" si="19"/>
        <v>14122</v>
      </c>
      <c r="O192" s="191" t="str">
        <f t="shared" si="20"/>
        <v>Ηρακλείου</v>
      </c>
    </row>
    <row r="193" spans="1:15" x14ac:dyDescent="0.25">
      <c r="A193" s="19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1" t="s">
        <v>771</v>
      </c>
      <c r="G193" s="191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3">
        <f t="shared" si="15"/>
        <v>227</v>
      </c>
      <c r="L193" t="str">
        <f t="shared" si="16"/>
        <v>ΚΡΗΤΗΣ</v>
      </c>
      <c r="M193" t="str">
        <f t="shared" si="17"/>
        <v>ΚΡΗΤΗΣ - ΙΕΡΑΠΕΤΡΑΣ</v>
      </c>
      <c r="N193" s="191">
        <f t="shared" si="19"/>
        <v>14134</v>
      </c>
      <c r="O193" s="191" t="str">
        <f t="shared" si="20"/>
        <v>Ιεράπετρας</v>
      </c>
    </row>
    <row r="194" spans="1:15" x14ac:dyDescent="0.25">
      <c r="A194" s="19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1" t="s">
        <v>772</v>
      </c>
      <c r="G194" s="191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3">
        <f t="shared" ref="K194:K257" si="22">SMALL(J:J,A194)</f>
        <v>229</v>
      </c>
      <c r="L194" t="str">
        <f t="shared" ref="L194:L257" si="23">IF(ISNUMBER(K194),LOOKUP(K194,A:A,B:B),"")</f>
        <v>ΚΡΗΤΗΣ</v>
      </c>
      <c r="M194" t="str">
        <f t="shared" ref="M194:M257" si="24">IF(ISNUMBER(K194),LOOKUP(K194,A:A,B:B)&amp;" - "&amp;LOOKUP(K194,A:A,D:D),"")</f>
        <v>ΚΡΗΤΗΣ - ΚΙΣΣΑΜΟΥ</v>
      </c>
      <c r="N194" s="191">
        <f t="shared" si="19"/>
        <v>14216</v>
      </c>
      <c r="O194" s="191" t="str">
        <f t="shared" si="20"/>
        <v>Κισσάμου</v>
      </c>
    </row>
    <row r="195" spans="1:15" x14ac:dyDescent="0.25">
      <c r="A195" s="19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1" t="s">
        <v>773</v>
      </c>
      <c r="G195" s="191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3">
        <f t="shared" si="22"/>
        <v>230</v>
      </c>
      <c r="L195" t="str">
        <f t="shared" si="23"/>
        <v>ΚΡΗΤΗΣ</v>
      </c>
      <c r="M195" t="str">
        <f t="shared" si="24"/>
        <v>ΚΡΗΤΗΣ - ΜΑΛΕΒΙΖΙΟΥ</v>
      </c>
      <c r="N195" s="191">
        <f t="shared" ref="N195:N258" si="26">IF(ISNUMBER(K195),LOOKUP(K195,A:A,G:G),"")</f>
        <v>14264</v>
      </c>
      <c r="O195" s="191" t="str">
        <f t="shared" ref="O195:O258" si="27">IF(ISNUMBER(K195),LOOKUP(K195,A:A,F:F),"")</f>
        <v>Μαλεβιζίου</v>
      </c>
    </row>
    <row r="196" spans="1:15" x14ac:dyDescent="0.25">
      <c r="A196" s="19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1" t="s">
        <v>774</v>
      </c>
      <c r="G196" s="191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3">
        <f t="shared" si="22"/>
        <v>231</v>
      </c>
      <c r="L196" t="str">
        <f t="shared" si="23"/>
        <v>ΚΡΗΤΗΣ</v>
      </c>
      <c r="M196" t="str">
        <f t="shared" si="24"/>
        <v>ΚΡΗΤΗΣ - ΜΙΝΩΑ ΠΕΔΙΑΔΑΣ</v>
      </c>
      <c r="N196" s="191">
        <f t="shared" si="26"/>
        <v>14298</v>
      </c>
      <c r="O196" s="191" t="str">
        <f t="shared" si="27"/>
        <v>Μινώα Πεδιάδας</v>
      </c>
    </row>
    <row r="197" spans="1:15" x14ac:dyDescent="0.25">
      <c r="A197" s="19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1" t="s">
        <v>775</v>
      </c>
      <c r="G197" s="191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3">
        <f t="shared" si="22"/>
        <v>232</v>
      </c>
      <c r="L197" t="str">
        <f t="shared" si="23"/>
        <v>ΚΡΗΤΗΣ</v>
      </c>
      <c r="M197" t="str">
        <f t="shared" si="24"/>
        <v>ΚΡΗΤΗΣ - ΜΥΛΟΠΟΤΑΜΟΥ</v>
      </c>
      <c r="N197" s="191">
        <f t="shared" si="26"/>
        <v>14270</v>
      </c>
      <c r="O197" s="191" t="str">
        <f t="shared" si="27"/>
        <v>Μυλοποτάμου</v>
      </c>
    </row>
    <row r="198" spans="1:15" x14ac:dyDescent="0.25">
      <c r="A198" s="19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1" t="s">
        <v>776</v>
      </c>
      <c r="G198" s="191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3">
        <f t="shared" si="22"/>
        <v>233</v>
      </c>
      <c r="L198" t="str">
        <f t="shared" si="23"/>
        <v>ΚΡΗΤΗΣ</v>
      </c>
      <c r="M198" t="str">
        <f t="shared" si="24"/>
        <v>ΚΡΗΤΗΣ - ΟΡΟΠΕΔΙΟΥ ΛΑΣΙΘΙΟΥ</v>
      </c>
      <c r="N198" s="191">
        <f t="shared" si="26"/>
        <v>14358</v>
      </c>
      <c r="O198" s="191" t="str">
        <f t="shared" si="27"/>
        <v>Οροπεδίου Λασιθίου</v>
      </c>
    </row>
    <row r="199" spans="1:15" x14ac:dyDescent="0.25">
      <c r="A199" s="19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1" t="s">
        <v>777</v>
      </c>
      <c r="G199" s="191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3">
        <f t="shared" si="22"/>
        <v>234</v>
      </c>
      <c r="L199" t="str">
        <f t="shared" si="23"/>
        <v>ΚΡΗΤΗΣ</v>
      </c>
      <c r="M199" t="str">
        <f t="shared" si="24"/>
        <v>ΚΡΗΤΗΣ - ΠΛΑΤΑΝΙΑ</v>
      </c>
      <c r="N199" s="191">
        <f t="shared" si="26"/>
        <v>14412</v>
      </c>
      <c r="O199" s="191" t="str">
        <f t="shared" si="27"/>
        <v>Πλατανιά</v>
      </c>
    </row>
    <row r="200" spans="1:15" x14ac:dyDescent="0.25">
      <c r="A200" s="19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1" t="s">
        <v>778</v>
      </c>
      <c r="G200" s="191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3">
        <f t="shared" si="22"/>
        <v>235</v>
      </c>
      <c r="L200" t="str">
        <f t="shared" si="23"/>
        <v>ΚΡΗΤΗΣ</v>
      </c>
      <c r="M200" t="str">
        <f t="shared" si="24"/>
        <v>ΚΡΗΤΗΣ - ΡΕΘΥΜΝΗΣ</v>
      </c>
      <c r="N200" s="191">
        <f t="shared" si="26"/>
        <v>14428</v>
      </c>
      <c r="O200" s="191" t="str">
        <f t="shared" si="27"/>
        <v>Ρεθύμνης</v>
      </c>
    </row>
    <row r="201" spans="1:15" x14ac:dyDescent="0.25">
      <c r="A201" s="19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1" t="s">
        <v>779</v>
      </c>
      <c r="G201" s="191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3">
        <f t="shared" si="22"/>
        <v>236</v>
      </c>
      <c r="L201" t="str">
        <f t="shared" si="23"/>
        <v>ΚΡΗΤΗΣ</v>
      </c>
      <c r="M201" t="str">
        <f t="shared" si="24"/>
        <v>ΚΡΗΤΗΣ - ΣΗΤΕΙΑΣ</v>
      </c>
      <c r="N201" s="191">
        <f t="shared" si="26"/>
        <v>14452</v>
      </c>
      <c r="O201" s="191" t="str">
        <f t="shared" si="27"/>
        <v>Σητείας</v>
      </c>
    </row>
    <row r="202" spans="1:15" x14ac:dyDescent="0.25">
      <c r="A202" s="19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1" t="s">
        <v>780</v>
      </c>
      <c r="G202" s="191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3">
        <f t="shared" si="22"/>
        <v>237</v>
      </c>
      <c r="L202" t="str">
        <f t="shared" si="23"/>
        <v>ΚΡΗΤΗΣ</v>
      </c>
      <c r="M202" t="str">
        <f t="shared" si="24"/>
        <v>ΚΡΗΤΗΣ - ΣΦΑΚΙΩΝ</v>
      </c>
      <c r="N202" s="191">
        <f t="shared" si="26"/>
        <v>14442</v>
      </c>
      <c r="O202" s="191" t="str">
        <f t="shared" si="27"/>
        <v>Σφακίων</v>
      </c>
    </row>
    <row r="203" spans="1:15" x14ac:dyDescent="0.25">
      <c r="A203" s="19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1" t="s">
        <v>781</v>
      </c>
      <c r="G203" s="191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3">
        <f t="shared" si="22"/>
        <v>238</v>
      </c>
      <c r="L203" t="str">
        <f t="shared" si="23"/>
        <v>ΚΡΗΤΗΣ</v>
      </c>
      <c r="M203" t="str">
        <f t="shared" si="24"/>
        <v>ΚΡΗΤΗΣ - ΦΑΙΣΤΟΥ</v>
      </c>
      <c r="N203" s="191">
        <f t="shared" si="26"/>
        <v>14510</v>
      </c>
      <c r="O203" s="191" t="str">
        <f t="shared" si="27"/>
        <v>Φαιστού</v>
      </c>
    </row>
    <row r="204" spans="1:15" x14ac:dyDescent="0.25">
      <c r="A204" s="19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1" t="s">
        <v>782</v>
      </c>
      <c r="G204" s="191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Μερική</v>
      </c>
      <c r="J204" t="str">
        <f t="shared" si="25"/>
        <v/>
      </c>
      <c r="K204" s="193">
        <f t="shared" si="22"/>
        <v>239</v>
      </c>
      <c r="L204" t="str">
        <f t="shared" si="23"/>
        <v>ΚΡΗΤΗΣ</v>
      </c>
      <c r="M204" t="str">
        <f t="shared" si="24"/>
        <v>ΚΡΗΤΗΣ - ΧΑΝΙΩΝ</v>
      </c>
      <c r="N204" s="191">
        <f t="shared" si="26"/>
        <v>14532</v>
      </c>
      <c r="O204" s="191" t="str">
        <f t="shared" si="27"/>
        <v>Χανίων</v>
      </c>
    </row>
    <row r="205" spans="1:15" x14ac:dyDescent="0.25">
      <c r="A205" s="19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1" t="s">
        <v>783</v>
      </c>
      <c r="G205" s="191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3">
        <f t="shared" si="22"/>
        <v>240</v>
      </c>
      <c r="L205" t="str">
        <f t="shared" si="23"/>
        <v>ΚΡΗΤΗΣ</v>
      </c>
      <c r="M205" t="str">
        <f t="shared" si="24"/>
        <v>ΚΡΗΤΗΣ - ΧΕΡΣΟΝΗΣΟΥ</v>
      </c>
      <c r="N205" s="191">
        <f t="shared" si="26"/>
        <v>14540</v>
      </c>
      <c r="O205" s="191" t="str">
        <f t="shared" si="27"/>
        <v>Χερσονήσου</v>
      </c>
    </row>
    <row r="206" spans="1:15" x14ac:dyDescent="0.25">
      <c r="A206" s="19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1" t="s">
        <v>784</v>
      </c>
      <c r="G206" s="191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3">
        <f t="shared" si="22"/>
        <v>255</v>
      </c>
      <c r="L206" t="str">
        <f t="shared" si="23"/>
        <v>ΝΟΤΙΟΥ ΑΙΓΑΙΟΥ</v>
      </c>
      <c r="M206" t="str">
        <f t="shared" si="24"/>
        <v>ΝΟΤΙΟΥ ΑΙΓΑΙΟΥ - ΚΩ</v>
      </c>
      <c r="N206" s="191">
        <f t="shared" si="26"/>
        <v>14170</v>
      </c>
      <c r="O206" s="191" t="str">
        <f t="shared" si="27"/>
        <v>Κω</v>
      </c>
    </row>
    <row r="207" spans="1:15" x14ac:dyDescent="0.25">
      <c r="A207" s="19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1" t="s">
        <v>785</v>
      </c>
      <c r="G207" s="191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3">
        <f t="shared" si="22"/>
        <v>260</v>
      </c>
      <c r="L207" t="str">
        <f t="shared" si="23"/>
        <v>ΝΟΤΙΟΥ ΑΙΓΑΙΟΥ</v>
      </c>
      <c r="M207" t="str">
        <f t="shared" si="24"/>
        <v>ΝΟΤΙΟΥ ΑΙΓΑΙΟΥ - ΜΥΚΟΝΟΥ</v>
      </c>
      <c r="N207" s="191">
        <f t="shared" si="26"/>
        <v>14306</v>
      </c>
      <c r="O207" s="191" t="str">
        <f t="shared" si="27"/>
        <v>Μυκόνου</v>
      </c>
    </row>
    <row r="208" spans="1:15" x14ac:dyDescent="0.25">
      <c r="A208" s="19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1" t="s">
        <v>786</v>
      </c>
      <c r="G208" s="191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3">
        <f t="shared" si="22"/>
        <v>261</v>
      </c>
      <c r="L208" t="str">
        <f t="shared" si="23"/>
        <v>ΝΟΤΙΟΥ ΑΙΓΑΙΟΥ</v>
      </c>
      <c r="M208" t="str">
        <f t="shared" si="24"/>
        <v>ΝΟΤΙΟΥ ΑΙΓΑΙΟΥ - ΝΑΞΟΥ ΚΑΙ ΜΙΚΡΩΝ ΚΥΚΛΑΔΩΝ</v>
      </c>
      <c r="N208" s="191">
        <f t="shared" si="26"/>
        <v>14310</v>
      </c>
      <c r="O208" s="191" t="str">
        <f t="shared" si="27"/>
        <v>Νάξου &amp; Μικρών Κυκλάδων</v>
      </c>
    </row>
    <row r="209" spans="1:15" x14ac:dyDescent="0.25">
      <c r="A209" s="19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1" t="s">
        <v>787</v>
      </c>
      <c r="G209" s="191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3">
        <f t="shared" si="22"/>
        <v>263</v>
      </c>
      <c r="L209" t="str">
        <f t="shared" si="23"/>
        <v>ΝΟΤΙΟΥ ΑΙΓΑΙΟΥ</v>
      </c>
      <c r="M209" t="str">
        <f t="shared" si="24"/>
        <v>ΝΟΤΙΟΥ ΑΙΓΑΙΟΥ - ΠΑΡΟΥ</v>
      </c>
      <c r="N209" s="191">
        <f t="shared" si="26"/>
        <v>14400</v>
      </c>
      <c r="O209" s="191" t="str">
        <f t="shared" si="27"/>
        <v>Πάρου</v>
      </c>
    </row>
    <row r="210" spans="1:15" x14ac:dyDescent="0.25">
      <c r="A210" s="19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1" t="s">
        <v>788</v>
      </c>
      <c r="G210" s="191">
        <v>14422</v>
      </c>
      <c r="H210" t="str">
        <f>_xlfn.IFNA(INDEX(DimosNaiOxi,MATCH(ΤΚ!E210,DimosNai,0)),"")</f>
        <v>ΝΑΙ</v>
      </c>
      <c r="I210" t="str">
        <f>LOOKUP(B210,ΠΕΡΙΦΕΡΕΙΑ!$A$2:$A$14,ΠΕΡΙΦΕΡΕΙΑ!$B$2:$B$14)</f>
        <v>Μερική</v>
      </c>
      <c r="J210">
        <f t="shared" si="25"/>
        <v>209</v>
      </c>
      <c r="K210" s="193">
        <f t="shared" si="22"/>
        <v>270</v>
      </c>
      <c r="L210" t="str">
        <f t="shared" si="23"/>
        <v>ΝΟΤΙΟΥ ΑΙΓΑΙΟΥ</v>
      </c>
      <c r="M210" t="str">
        <f t="shared" si="24"/>
        <v>ΝΟΤΙΟΥ ΑΙΓΑΙΟΥ - ΣΥΡΟΥ – ΕΡΜΟΥΠΟΛΗΣ</v>
      </c>
      <c r="N210" s="191">
        <f t="shared" si="26"/>
        <v>14488</v>
      </c>
      <c r="O210" s="191" t="str">
        <f t="shared" si="27"/>
        <v>Σύρου - Ερμούπολης</v>
      </c>
    </row>
    <row r="211" spans="1:15" x14ac:dyDescent="0.25">
      <c r="A211" s="19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1" t="s">
        <v>789</v>
      </c>
      <c r="G211" s="191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3">
        <f t="shared" si="22"/>
        <v>272</v>
      </c>
      <c r="L211" t="str">
        <f t="shared" si="23"/>
        <v>ΝΟΤΙΟΥ ΑΙΓΑΙΟΥ</v>
      </c>
      <c r="M211" t="str">
        <f t="shared" si="24"/>
        <v>ΝΟΤΙΟΥ ΑΙΓΑΙΟΥ - ΤΗΝΟΥ</v>
      </c>
      <c r="N211" s="191">
        <f t="shared" si="26"/>
        <v>14498</v>
      </c>
      <c r="O211" s="191" t="str">
        <f t="shared" si="27"/>
        <v>Τήνου</v>
      </c>
    </row>
    <row r="212" spans="1:15" x14ac:dyDescent="0.25">
      <c r="A212" s="19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1" t="s">
        <v>790</v>
      </c>
      <c r="G212" s="191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3">
        <f t="shared" si="22"/>
        <v>275</v>
      </c>
      <c r="L212" t="str">
        <f t="shared" si="23"/>
        <v>ΠΕΛΟΠΟΝΝΗΣΟΥ</v>
      </c>
      <c r="M212" t="str">
        <f t="shared" si="24"/>
        <v>ΠΕΛΟΠΟΝΝΗΣΟΥ - ΑΝΑΤΟΛΙΚΗΣ ΜΑΝΗΣ</v>
      </c>
      <c r="N212" s="191">
        <f t="shared" si="26"/>
        <v>13980</v>
      </c>
      <c r="O212" s="191" t="str">
        <f t="shared" si="27"/>
        <v>Ανατολικής Μάνης</v>
      </c>
    </row>
    <row r="213" spans="1:15" x14ac:dyDescent="0.25">
      <c r="A213" s="19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1" t="s">
        <v>791</v>
      </c>
      <c r="G213" s="191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3">
        <f t="shared" si="22"/>
        <v>276</v>
      </c>
      <c r="L213" t="str">
        <f t="shared" si="23"/>
        <v>ΠΕΛΟΠΟΝΝΗΣΟΥ</v>
      </c>
      <c r="M213" t="str">
        <f t="shared" si="24"/>
        <v>ΠΕΛΟΠΟΝΝΗΣΟΥ - ΑΡΓΟΥΣ – ΜΥΚΗΝΩΝ</v>
      </c>
      <c r="N213" s="191">
        <f t="shared" si="26"/>
        <v>13994</v>
      </c>
      <c r="O213" s="191" t="str">
        <f t="shared" si="27"/>
        <v>Άργους - Μυκηνών</v>
      </c>
    </row>
    <row r="214" spans="1:15" x14ac:dyDescent="0.25">
      <c r="A214" s="19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1" t="s">
        <v>792</v>
      </c>
      <c r="G214" s="191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3">
        <f t="shared" si="22"/>
        <v>277</v>
      </c>
      <c r="L214" t="str">
        <f t="shared" si="23"/>
        <v>ΠΕΛΟΠΟΝΝΗΣΟΥ</v>
      </c>
      <c r="M214" t="str">
        <f t="shared" si="24"/>
        <v>ΠΕΛΟΠΟΝΝΗΣΟΥ - ΒΕΛΟΥ – ΒΟΧΑΣ</v>
      </c>
      <c r="N214" s="191">
        <f t="shared" si="26"/>
        <v>14012</v>
      </c>
      <c r="O214" s="191" t="str">
        <f t="shared" si="27"/>
        <v>Βέλου - Βόχας</v>
      </c>
    </row>
    <row r="215" spans="1:15" x14ac:dyDescent="0.25">
      <c r="A215" s="19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1" t="s">
        <v>793</v>
      </c>
      <c r="G215" s="191">
        <v>14472</v>
      </c>
      <c r="H215" t="str">
        <f>_xlfn.IFNA(INDEX(DimosNaiOxi,MATCH(ΤΚ!E215,DimosNai,0)),"")</f>
        <v>ΝΑΙ</v>
      </c>
      <c r="I215" t="str">
        <f>LOOKUP(B215,ΠΕΡΙΦΕΡΕΙΑ!$A$2:$A$14,ΠΕΡΙΦΕΡΕΙΑ!$B$2:$B$14)</f>
        <v>Μερική</v>
      </c>
      <c r="J215">
        <f t="shared" si="25"/>
        <v>214</v>
      </c>
      <c r="K215" s="193">
        <f t="shared" si="22"/>
        <v>278</v>
      </c>
      <c r="L215" t="str">
        <f t="shared" si="23"/>
        <v>ΠΕΛΟΠΟΝΝΗΣΟΥ</v>
      </c>
      <c r="M215" t="str">
        <f t="shared" si="24"/>
        <v>ΠΕΛΟΠΟΝΝΗΣΟΥ - ΒΟΡΕΙΑΣ ΚΥΝΟΥΡΙΑΣ</v>
      </c>
      <c r="N215" s="191">
        <f t="shared" si="26"/>
        <v>14020</v>
      </c>
      <c r="O215" s="191" t="str">
        <f t="shared" si="27"/>
        <v>Βόρειας Κυνουρίας</v>
      </c>
    </row>
    <row r="216" spans="1:15" x14ac:dyDescent="0.25">
      <c r="A216" s="19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1" t="s">
        <v>794</v>
      </c>
      <c r="G216" s="191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3">
        <f t="shared" si="22"/>
        <v>279</v>
      </c>
      <c r="L216" t="str">
        <f t="shared" si="23"/>
        <v>ΠΕΛΟΠΟΝΝΗΣΟΥ</v>
      </c>
      <c r="M216" t="str">
        <f t="shared" si="24"/>
        <v>ΠΕΛΟΠΟΝΝΗΣΟΥ - ΓΟΡΤΥΝΙΑΣ</v>
      </c>
      <c r="N216" s="191">
        <f t="shared" si="26"/>
        <v>14046</v>
      </c>
      <c r="O216" s="191" t="str">
        <f t="shared" si="27"/>
        <v>Γορτυνίας</v>
      </c>
    </row>
    <row r="217" spans="1:15" x14ac:dyDescent="0.25">
      <c r="A217" s="19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1" t="s">
        <v>795</v>
      </c>
      <c r="G217" s="191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3">
        <f t="shared" si="22"/>
        <v>280</v>
      </c>
      <c r="L217" t="str">
        <f t="shared" si="23"/>
        <v>ΠΕΛΟΠΟΝΝΗΣΟΥ</v>
      </c>
      <c r="M217" t="str">
        <f t="shared" si="24"/>
        <v>ΠΕΛΟΠΟΝΝΗΣΟΥ - ΔΥΤΙΚΗΣ ΜΑΝΗΣ</v>
      </c>
      <c r="N217" s="191">
        <f t="shared" si="26"/>
        <v>14074</v>
      </c>
      <c r="O217" s="191" t="str">
        <f t="shared" si="27"/>
        <v>Δυτικής Μάνης</v>
      </c>
    </row>
    <row r="218" spans="1:15" x14ac:dyDescent="0.25">
      <c r="A218" s="19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1" t="s">
        <v>796</v>
      </c>
      <c r="G218" s="191">
        <v>14554</v>
      </c>
      <c r="H218" t="str">
        <f>_xlfn.IFNA(INDEX(DimosNaiOxi,MATCH(ΤΚ!E218,DimosNai,0)),"")</f>
        <v>ΝΑΙ</v>
      </c>
      <c r="I218" t="str">
        <f>LOOKUP(B218,ΠΕΡΙΦΕΡΕΙΑ!$A$2:$A$14,ΠΕΡΙΦΕΡΕΙΑ!$B$2:$B$14)</f>
        <v>Μερική</v>
      </c>
      <c r="J218">
        <f t="shared" si="25"/>
        <v>217</v>
      </c>
      <c r="K218" s="193">
        <f t="shared" si="22"/>
        <v>282</v>
      </c>
      <c r="L218" t="str">
        <f t="shared" si="23"/>
        <v>ΠΕΛΟΠΟΝΝΗΣΟΥ</v>
      </c>
      <c r="M218" t="str">
        <f t="shared" si="24"/>
        <v>ΠΕΛΟΠΟΝΝΗΣΟΥ - ΕΠΙΔΑΥΡΟΥ</v>
      </c>
      <c r="N218" s="191">
        <f t="shared" si="26"/>
        <v>14092</v>
      </c>
      <c r="O218" s="191" t="str">
        <f t="shared" si="27"/>
        <v>Επιδαύρου</v>
      </c>
    </row>
    <row r="219" spans="1:15" x14ac:dyDescent="0.25">
      <c r="A219" s="19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1" t="s">
        <v>797</v>
      </c>
      <c r="G219" s="191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3">
        <f t="shared" si="22"/>
        <v>283</v>
      </c>
      <c r="L219" t="str">
        <f t="shared" si="23"/>
        <v>ΠΕΛΟΠΟΝΝΗΣΟΥ</v>
      </c>
      <c r="M219" t="str">
        <f t="shared" si="24"/>
        <v>ΠΕΛΟΠΟΝΝΗΣΟΥ - ΕΡΜΙΟΝΙΔΑΣ</v>
      </c>
      <c r="N219" s="191">
        <f t="shared" si="26"/>
        <v>14096</v>
      </c>
      <c r="O219" s="191" t="str">
        <f t="shared" si="27"/>
        <v>Ερμιονίδας</v>
      </c>
    </row>
    <row r="220" spans="1:15" x14ac:dyDescent="0.25">
      <c r="A220" s="19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1" t="s">
        <v>798</v>
      </c>
      <c r="G220" s="191">
        <v>13962</v>
      </c>
      <c r="H220" t="str">
        <f>_xlfn.IFNA(INDEX(DimosNaiOxi,MATCH(ΤΚ!E220,DimosNai,0)),"")</f>
        <v>ΝΑΙ</v>
      </c>
      <c r="I220" t="str">
        <f>LOOKUP(B220,ΠΕΡΙΦΕΡΕΙΑ!$A$2:$A$14,ΠΕΡΙΦΕΡΕΙΑ!$B$2:$B$14)</f>
        <v>Μερική</v>
      </c>
      <c r="J220">
        <f t="shared" si="25"/>
        <v>219</v>
      </c>
      <c r="K220" s="193">
        <f t="shared" si="22"/>
        <v>284</v>
      </c>
      <c r="L220" t="str">
        <f t="shared" si="23"/>
        <v>ΠΕΛΟΠΟΝΝΗΣΟΥ</v>
      </c>
      <c r="M220" t="str">
        <f t="shared" si="24"/>
        <v>ΠΕΛΟΠΟΝΝΗΣΟΥ - ΕΥΡΩΤΑ</v>
      </c>
      <c r="N220" s="191">
        <f t="shared" si="26"/>
        <v>14100</v>
      </c>
      <c r="O220" s="191" t="str">
        <f t="shared" si="27"/>
        <v>Ευρώτα</v>
      </c>
    </row>
    <row r="221" spans="1:15" x14ac:dyDescent="0.25">
      <c r="A221" s="19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1" t="s">
        <v>799</v>
      </c>
      <c r="G221" s="191">
        <v>13908</v>
      </c>
      <c r="H221" t="str">
        <f>_xlfn.IFNA(INDEX(DimosNaiOxi,MATCH(ΤΚ!E221,DimosNai,0)),"")</f>
        <v>ΝΑΙ</v>
      </c>
      <c r="I221" t="str">
        <f>LOOKUP(B221,ΠΕΡΙΦΕΡΕΙΑ!$A$2:$A$14,ΠΕΡΙΦΕΡΕΙΑ!$B$2:$B$14)</f>
        <v>Μερική</v>
      </c>
      <c r="J221">
        <f t="shared" si="25"/>
        <v>220</v>
      </c>
      <c r="K221" s="193">
        <f t="shared" si="22"/>
        <v>285</v>
      </c>
      <c r="L221" t="str">
        <f t="shared" si="23"/>
        <v>ΠΕΛΟΠΟΝΝΗΣΟΥ</v>
      </c>
      <c r="M221" t="str">
        <f t="shared" si="24"/>
        <v>ΠΕΛΟΠΟΝΝΗΣΟΥ - ΚΑΛΑΜΑΤΑΣ</v>
      </c>
      <c r="N221" s="191">
        <f t="shared" si="26"/>
        <v>14178</v>
      </c>
      <c r="O221" s="191" t="str">
        <f t="shared" si="27"/>
        <v>Καλαμάτας</v>
      </c>
    </row>
    <row r="222" spans="1:15" x14ac:dyDescent="0.25">
      <c r="A222" s="19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1" t="s">
        <v>800</v>
      </c>
      <c r="G222" s="191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193">
        <f t="shared" si="22"/>
        <v>286</v>
      </c>
      <c r="L222" t="str">
        <f t="shared" si="23"/>
        <v>ΠΕΛΟΠΟΝΝΗΣΟΥ</v>
      </c>
      <c r="M222" t="str">
        <f t="shared" si="24"/>
        <v>ΠΕΛΟΠΟΝΝΗΣΟΥ - ΚΟΡΙΝΘΙΩΝ</v>
      </c>
      <c r="N222" s="191">
        <f t="shared" si="26"/>
        <v>14168</v>
      </c>
      <c r="O222" s="191" t="str">
        <f t="shared" si="27"/>
        <v>Κορινθίων</v>
      </c>
    </row>
    <row r="223" spans="1:15" x14ac:dyDescent="0.25">
      <c r="A223" s="19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1" t="s">
        <v>801</v>
      </c>
      <c r="G223" s="191">
        <v>14002</v>
      </c>
      <c r="H223" t="str">
        <f>_xlfn.IFNA(INDEX(DimosNaiOxi,MATCH(ΤΚ!E223,DimosNai,0)),"")</f>
        <v>ΝΑΙ</v>
      </c>
      <c r="I223" t="str">
        <f>LOOKUP(B223,ΠΕΡΙΦΕΡΕΙΑ!$A$2:$A$14,ΠΕΡΙΦΕΡΕΙΑ!$B$2:$B$14)</f>
        <v>Μερική</v>
      </c>
      <c r="J223">
        <f t="shared" si="25"/>
        <v>222</v>
      </c>
      <c r="K223" s="193">
        <f t="shared" si="22"/>
        <v>287</v>
      </c>
      <c r="L223" t="str">
        <f t="shared" si="23"/>
        <v>ΠΕΛΟΠΟΝΝΗΣΟΥ</v>
      </c>
      <c r="M223" t="str">
        <f t="shared" si="24"/>
        <v>ΠΕΛΟΠΟΝΝΗΣΟΥ - ΛΟΥΤΡΑΚΙΟΥ – ΑΓΙΩΝ ΘΕΟΔΩΡΩΝ</v>
      </c>
      <c r="N223" s="191">
        <f t="shared" si="26"/>
        <v>14244</v>
      </c>
      <c r="O223" s="191" t="str">
        <f t="shared" si="27"/>
        <v>Λουτρακίου - Αγ. Θεοδώρων</v>
      </c>
    </row>
    <row r="224" spans="1:15" x14ac:dyDescent="0.25">
      <c r="A224" s="19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1" t="s">
        <v>802</v>
      </c>
      <c r="G224" s="191">
        <v>14016</v>
      </c>
      <c r="H224" t="str">
        <f>_xlfn.IFNA(INDEX(DimosNaiOxi,MATCH(ΤΚ!E224,DimosNai,0)),"")</f>
        <v>ΝΑΙ</v>
      </c>
      <c r="I224" t="str">
        <f>LOOKUP(B224,ΠΕΡΙΦΕΡΕΙΑ!$A$2:$A$14,ΠΕΡΙΦΕΡΕΙΑ!$B$2:$B$14)</f>
        <v>Μερική</v>
      </c>
      <c r="J224">
        <f t="shared" si="25"/>
        <v>223</v>
      </c>
      <c r="K224" s="193">
        <f t="shared" si="22"/>
        <v>288</v>
      </c>
      <c r="L224" t="str">
        <f t="shared" si="23"/>
        <v>ΠΕΛΟΠΟΝΝΗΣΟΥ</v>
      </c>
      <c r="M224" t="str">
        <f t="shared" si="24"/>
        <v>ΠΕΛΟΠΟΝΝΗΣΟΥ - ΜΕΓΑΛΟΠΟΛΗΣ</v>
      </c>
      <c r="N224" s="191">
        <f t="shared" si="26"/>
        <v>14282</v>
      </c>
      <c r="O224" s="191" t="str">
        <f t="shared" si="27"/>
        <v>Μεγαλόπολης</v>
      </c>
    </row>
    <row r="225" spans="1:15" x14ac:dyDescent="0.25">
      <c r="A225" s="19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1" t="s">
        <v>803</v>
      </c>
      <c r="G225" s="191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3">
        <f t="shared" si="22"/>
        <v>289</v>
      </c>
      <c r="L225" t="str">
        <f t="shared" si="23"/>
        <v>ΠΕΛΟΠΟΝΝΗΣΟΥ</v>
      </c>
      <c r="M225" t="str">
        <f t="shared" si="24"/>
        <v>ΠΕΛΟΠΟΝΝΗΣΟΥ - ΜΕΣΣΗΝΗΣ</v>
      </c>
      <c r="N225" s="191">
        <f t="shared" si="26"/>
        <v>14292</v>
      </c>
      <c r="O225" s="191" t="str">
        <f t="shared" si="27"/>
        <v>Μεσσήνης</v>
      </c>
    </row>
    <row r="226" spans="1:15" x14ac:dyDescent="0.25">
      <c r="A226" s="19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1" t="s">
        <v>804</v>
      </c>
      <c r="G226" s="191">
        <v>14044</v>
      </c>
      <c r="H226" t="str">
        <f>_xlfn.IFNA(INDEX(DimosNaiOxi,MATCH(ΤΚ!E226,DimosNai,0)),"")</f>
        <v>ΝΑΙ</v>
      </c>
      <c r="I226" t="str">
        <f>LOOKUP(B226,ΠΕΡΙΦΕΡΕΙΑ!$A$2:$A$14,ΠΕΡΙΦΕΡΕΙΑ!$B$2:$B$14)</f>
        <v>Μερική</v>
      </c>
      <c r="J226">
        <f t="shared" si="25"/>
        <v>225</v>
      </c>
      <c r="K226" s="193">
        <f t="shared" si="22"/>
        <v>290</v>
      </c>
      <c r="L226" t="str">
        <f t="shared" si="23"/>
        <v>ΠΕΛΟΠΟΝΝΗΣΟΥ</v>
      </c>
      <c r="M226" t="str">
        <f t="shared" si="24"/>
        <v>ΠΕΛΟΠΟΝΝΗΣΟΥ - ΜΟΝΕΜΒΑΣΙΑΣ</v>
      </c>
      <c r="N226" s="191">
        <f t="shared" si="26"/>
        <v>14268</v>
      </c>
      <c r="O226" s="191" t="str">
        <f t="shared" si="27"/>
        <v>Μονεμβασιάς</v>
      </c>
    </row>
    <row r="227" spans="1:15" x14ac:dyDescent="0.25">
      <c r="A227" s="19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1" t="s">
        <v>805</v>
      </c>
      <c r="G227" s="191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3">
        <f t="shared" si="22"/>
        <v>291</v>
      </c>
      <c r="L227" t="str">
        <f t="shared" si="23"/>
        <v>ΠΕΛΟΠΟΝΝΗΣΟΥ</v>
      </c>
      <c r="M227" t="str">
        <f t="shared" si="24"/>
        <v>ΠΕΛΟΠΟΝΝΗΣΟΥ - ΝΑΥΠΛΙΕΩΝ</v>
      </c>
      <c r="N227" s="191">
        <f t="shared" si="26"/>
        <v>14314</v>
      </c>
      <c r="O227" s="191" t="str">
        <f t="shared" si="27"/>
        <v>Ναυπλιέων</v>
      </c>
    </row>
    <row r="228" spans="1:15" x14ac:dyDescent="0.25">
      <c r="A228" s="19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1" t="s">
        <v>806</v>
      </c>
      <c r="G228" s="191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3">
        <f t="shared" si="22"/>
        <v>292</v>
      </c>
      <c r="L228" t="str">
        <f t="shared" si="23"/>
        <v>ΠΕΛΟΠΟΝΝΗΣΟΥ</v>
      </c>
      <c r="M228" t="str">
        <f t="shared" si="24"/>
        <v>ΠΕΛΟΠΟΝΝΗΣΟΥ - ΝΕΜΕΑΣ</v>
      </c>
      <c r="N228" s="191">
        <f t="shared" si="26"/>
        <v>14322</v>
      </c>
      <c r="O228" s="191" t="str">
        <f t="shared" si="27"/>
        <v>Νεμέας</v>
      </c>
    </row>
    <row r="229" spans="1:15" x14ac:dyDescent="0.25">
      <c r="A229" s="19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1" t="s">
        <v>807</v>
      </c>
      <c r="G229" s="191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3">
        <f t="shared" si="22"/>
        <v>293</v>
      </c>
      <c r="L229" t="str">
        <f t="shared" si="23"/>
        <v>ΠΕΛΟΠΟΝΝΗΣΟΥ</v>
      </c>
      <c r="M229" t="str">
        <f t="shared" si="24"/>
        <v>ΠΕΛΟΠΟΝΝΗΣΟΥ - ΝΟΤΙΑΣ ΚΥΝΟΥΡΙΑΣ</v>
      </c>
      <c r="N229" s="191">
        <f t="shared" si="26"/>
        <v>14340</v>
      </c>
      <c r="O229" s="191" t="str">
        <f t="shared" si="27"/>
        <v>Νότιας Κυνουρίας</v>
      </c>
    </row>
    <row r="230" spans="1:15" x14ac:dyDescent="0.25">
      <c r="A230" s="19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1" t="s">
        <v>808</v>
      </c>
      <c r="G230" s="191">
        <v>14216</v>
      </c>
      <c r="H230" t="str">
        <f>_xlfn.IFNA(INDEX(DimosNaiOxi,MATCH(ΤΚ!E230,DimosNai,0)),"")</f>
        <v>ΝΑΙ</v>
      </c>
      <c r="I230" t="str">
        <f>LOOKUP(B230,ΠΕΡΙΦΕΡΕΙΑ!$A$2:$A$14,ΠΕΡΙΦΕΡΕΙΑ!$B$2:$B$14)</f>
        <v>Μερική</v>
      </c>
      <c r="J230">
        <f t="shared" si="25"/>
        <v>229</v>
      </c>
      <c r="K230" s="193">
        <f t="shared" si="22"/>
        <v>294</v>
      </c>
      <c r="L230" t="str">
        <f t="shared" si="23"/>
        <v>ΠΕΛΟΠΟΝΝΗΣΟΥ</v>
      </c>
      <c r="M230" t="str">
        <f t="shared" si="24"/>
        <v>ΠΕΛΟΠΟΝΝΗΣΟΥ - ΞΥΛΟΚΑΣΤΡΟΥ – ΕΥΡΩΣΤΙΝΗΣ</v>
      </c>
      <c r="N230" s="191">
        <f t="shared" si="26"/>
        <v>14346</v>
      </c>
      <c r="O230" s="191" t="str">
        <f t="shared" si="27"/>
        <v>Ξυλοκάστρου - Ευρωστίνης</v>
      </c>
    </row>
    <row r="231" spans="1:15" x14ac:dyDescent="0.25">
      <c r="A231" s="19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1" t="s">
        <v>809</v>
      </c>
      <c r="G231" s="191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193">
        <f t="shared" si="22"/>
        <v>295</v>
      </c>
      <c r="L231" t="str">
        <f t="shared" si="23"/>
        <v>ΠΕΛΟΠΟΝΝΗΣΟΥ</v>
      </c>
      <c r="M231" t="str">
        <f t="shared" si="24"/>
        <v>ΠΕΛΟΠΟΝΝΗΣΟΥ - ΟΙΧΑΛΙΑΣ</v>
      </c>
      <c r="N231" s="191">
        <f t="shared" si="26"/>
        <v>14350</v>
      </c>
      <c r="O231" s="191" t="str">
        <f t="shared" si="27"/>
        <v>Οιχαλίας</v>
      </c>
    </row>
    <row r="232" spans="1:15" x14ac:dyDescent="0.25">
      <c r="A232" s="19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1" t="s">
        <v>810</v>
      </c>
      <c r="G232" s="191">
        <v>14298</v>
      </c>
      <c r="H232" t="str">
        <f>_xlfn.IFNA(INDEX(DimosNaiOxi,MATCH(ΤΚ!E232,DimosNai,0)),"")</f>
        <v>ΝΑΙ</v>
      </c>
      <c r="I232" t="str">
        <f>LOOKUP(B232,ΠΕΡΙΦΕΡΕΙΑ!$A$2:$A$14,ΠΕΡΙΦΕΡΕΙΑ!$B$2:$B$14)</f>
        <v>Μερική</v>
      </c>
      <c r="J232">
        <f t="shared" si="25"/>
        <v>231</v>
      </c>
      <c r="K232" s="193">
        <f t="shared" si="22"/>
        <v>296</v>
      </c>
      <c r="L232" t="str">
        <f t="shared" si="23"/>
        <v>ΠΕΛΟΠΟΝΝΗΣΟΥ</v>
      </c>
      <c r="M232" t="str">
        <f t="shared" si="24"/>
        <v>ΠΕΛΟΠΟΝΝΗΣΟΥ - ΠΥΛΟΥ – ΝΕΣΤΟΡΟΣ</v>
      </c>
      <c r="N232" s="191">
        <f t="shared" si="26"/>
        <v>14426</v>
      </c>
      <c r="O232" s="191" t="str">
        <f t="shared" si="27"/>
        <v>Πύλου - Νέστορος</v>
      </c>
    </row>
    <row r="233" spans="1:15" x14ac:dyDescent="0.25">
      <c r="A233" s="19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1" t="s">
        <v>811</v>
      </c>
      <c r="G233" s="191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193">
        <f t="shared" si="22"/>
        <v>297</v>
      </c>
      <c r="L233" t="str">
        <f t="shared" si="23"/>
        <v>ΠΕΛΟΠΟΝΝΗΣΟΥ</v>
      </c>
      <c r="M233" t="str">
        <f t="shared" si="24"/>
        <v>ΠΕΛΟΠΟΝΝΗΣΟΥ - ΣΙΚΥΩΝΙΩΝ</v>
      </c>
      <c r="N233" s="191">
        <f t="shared" si="26"/>
        <v>14460</v>
      </c>
      <c r="O233" s="191" t="str">
        <f t="shared" si="27"/>
        <v>Σικυωνίων</v>
      </c>
    </row>
    <row r="234" spans="1:15" x14ac:dyDescent="0.25">
      <c r="A234" s="19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1" t="s">
        <v>812</v>
      </c>
      <c r="G234" s="191">
        <v>14358</v>
      </c>
      <c r="H234" t="str">
        <f>_xlfn.IFNA(INDEX(DimosNaiOxi,MATCH(ΤΚ!E234,DimosNai,0)),"")</f>
        <v>ΝΑΙ</v>
      </c>
      <c r="I234" t="str">
        <f>LOOKUP(B234,ΠΕΡΙΦΕΡΕΙΑ!$A$2:$A$14,ΠΕΡΙΦΕΡΕΙΑ!$B$2:$B$14)</f>
        <v>Μερική</v>
      </c>
      <c r="J234">
        <f t="shared" si="25"/>
        <v>233</v>
      </c>
      <c r="K234" s="193">
        <f t="shared" si="22"/>
        <v>298</v>
      </c>
      <c r="L234" t="str">
        <f t="shared" si="23"/>
        <v>ΠΕΛΟΠΟΝΝΗΣΟΥ</v>
      </c>
      <c r="M234" t="str">
        <f t="shared" si="24"/>
        <v>ΠΕΛΟΠΟΝΝΗΣΟΥ - ΣΠΑΡΤΗΣ</v>
      </c>
      <c r="N234" s="191">
        <f t="shared" si="26"/>
        <v>14478</v>
      </c>
      <c r="O234" s="191" t="str">
        <f t="shared" si="27"/>
        <v>Σπάρτης</v>
      </c>
    </row>
    <row r="235" spans="1:15" x14ac:dyDescent="0.25">
      <c r="A235" s="19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1" t="s">
        <v>813</v>
      </c>
      <c r="G235" s="191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193">
        <f t="shared" si="22"/>
        <v>299</v>
      </c>
      <c r="L235" t="str">
        <f t="shared" si="23"/>
        <v>ΠΕΛΟΠΟΝΝΗΣΟΥ</v>
      </c>
      <c r="M235" t="str">
        <f t="shared" si="24"/>
        <v>ΠΕΛΟΠΟΝΝΗΣΟΥ - ΤΡΙΠΟΛΗΣ</v>
      </c>
      <c r="N235" s="191">
        <f t="shared" si="26"/>
        <v>14500</v>
      </c>
      <c r="O235" s="191" t="str">
        <f t="shared" si="27"/>
        <v>Τρίπολης</v>
      </c>
    </row>
    <row r="236" spans="1:15" x14ac:dyDescent="0.25">
      <c r="A236" s="19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1" t="s">
        <v>814</v>
      </c>
      <c r="G236" s="191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3">
        <f t="shared" si="22"/>
        <v>300</v>
      </c>
      <c r="L236" t="str">
        <f t="shared" si="23"/>
        <v>ΠΕΛΟΠΟΝΝΗΣΟΥ</v>
      </c>
      <c r="M236" t="str">
        <f t="shared" si="24"/>
        <v>ΠΕΛΟΠΟΝΝΗΣΟΥ - ΤΡΙΦΥΛΙΑΣ</v>
      </c>
      <c r="N236" s="191">
        <f t="shared" si="26"/>
        <v>14504</v>
      </c>
      <c r="O236" s="191" t="str">
        <f t="shared" si="27"/>
        <v>Τριφυλίας</v>
      </c>
    </row>
    <row r="237" spans="1:15" x14ac:dyDescent="0.25">
      <c r="A237" s="19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1" t="s">
        <v>815</v>
      </c>
      <c r="G237" s="191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3">
        <f t="shared" si="22"/>
        <v>303</v>
      </c>
      <c r="L237" t="str">
        <f t="shared" si="23"/>
        <v>ΣΤΕΡΕΑΣ ΕΛΛΑΔΑΣ</v>
      </c>
      <c r="M237" t="str">
        <f t="shared" si="24"/>
        <v>ΣΤΕΡΕΑΣ ΕΛΛΑΔΑΣ - ΑΜΦΙΚΛΕΙΑΣ – ΕΛΑΤΕΙΑΣ</v>
      </c>
      <c r="N237" s="191">
        <f t="shared" si="26"/>
        <v>13972</v>
      </c>
      <c r="O237" s="191" t="str">
        <f t="shared" si="27"/>
        <v>Αμφίκλειας - Ελάτειας</v>
      </c>
    </row>
    <row r="238" spans="1:15" x14ac:dyDescent="0.25">
      <c r="A238" s="19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1" t="s">
        <v>816</v>
      </c>
      <c r="G238" s="191">
        <v>14442</v>
      </c>
      <c r="H238" t="str">
        <f>_xlfn.IFNA(INDEX(DimosNaiOxi,MATCH(ΤΚ!E238,DimosNai,0)),"")</f>
        <v>ΝΑΙ</v>
      </c>
      <c r="I238" t="str">
        <f>LOOKUP(B238,ΠΕΡΙΦΕΡΕΙΑ!$A$2:$A$14,ΠΕΡΙΦΕΡΕΙΑ!$B$2:$B$14)</f>
        <v>Μερική</v>
      </c>
      <c r="J238">
        <f t="shared" si="25"/>
        <v>237</v>
      </c>
      <c r="K238" s="193">
        <f t="shared" si="22"/>
        <v>304</v>
      </c>
      <c r="L238" t="str">
        <f t="shared" si="23"/>
        <v>ΣΤΕΡΕΑΣ ΕΛΛΑΔΑΣ</v>
      </c>
      <c r="M238" t="str">
        <f t="shared" si="24"/>
        <v>ΣΤΕΡΕΑΣ ΕΛΛΑΔΑΣ - ΔΕΛΦΩΝ</v>
      </c>
      <c r="N238" s="191">
        <f t="shared" si="26"/>
        <v>14052</v>
      </c>
      <c r="O238" s="191" t="str">
        <f t="shared" si="27"/>
        <v>Δελφών</v>
      </c>
    </row>
    <row r="239" spans="1:15" x14ac:dyDescent="0.25">
      <c r="A239" s="19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1" t="s">
        <v>817</v>
      </c>
      <c r="G239" s="191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193">
        <f t="shared" si="22"/>
        <v>305</v>
      </c>
      <c r="L239" t="str">
        <f t="shared" si="23"/>
        <v>ΣΤΕΡΕΑΣ ΕΛΛΑΔΑΣ</v>
      </c>
      <c r="M239" t="str">
        <f t="shared" si="24"/>
        <v>ΣΤΕΡΕΑΣ ΕΛΛΑΔΑΣ - ΔΙΡΦΥΩΝ – ΜΕΣΣΑΠΙΩΝ</v>
      </c>
      <c r="N239" s="191">
        <f t="shared" si="26"/>
        <v>14064</v>
      </c>
      <c r="O239" s="191" t="str">
        <f t="shared" si="27"/>
        <v>Διρφύων - Μεσσαπίων</v>
      </c>
    </row>
    <row r="240" spans="1:15" x14ac:dyDescent="0.25">
      <c r="A240" s="19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1" t="s">
        <v>818</v>
      </c>
      <c r="G240" s="191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3">
        <f t="shared" si="22"/>
        <v>307</v>
      </c>
      <c r="L240" t="str">
        <f t="shared" si="23"/>
        <v>ΣΤΕΡΕΑΣ ΕΛΛΑΔΑΣ</v>
      </c>
      <c r="M240" t="str">
        <f t="shared" si="24"/>
        <v>ΣΤΕΡΕΑΣ ΕΛΛΑΔΑΣ - ΔΟΜΟΚΟΥ</v>
      </c>
      <c r="N240" s="191">
        <f t="shared" si="26"/>
        <v>14066</v>
      </c>
      <c r="O240" s="191" t="str">
        <f t="shared" si="27"/>
        <v>Δομοκού</v>
      </c>
    </row>
    <row r="241" spans="1:15" x14ac:dyDescent="0.25">
      <c r="A241" s="19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1" t="s">
        <v>819</v>
      </c>
      <c r="G241" s="191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193">
        <f t="shared" si="22"/>
        <v>308</v>
      </c>
      <c r="L241" t="str">
        <f t="shared" si="23"/>
        <v>ΣΤΕΡΕΑΣ ΕΛΛΑΔΑΣ</v>
      </c>
      <c r="M241" t="str">
        <f t="shared" si="24"/>
        <v>ΣΤΕΡΕΑΣ ΕΛΛΑΔΑΣ - ΔΩΡΙΔΟΣ</v>
      </c>
      <c r="N241" s="191">
        <f t="shared" si="26"/>
        <v>14078</v>
      </c>
      <c r="O241" s="191" t="str">
        <f t="shared" si="27"/>
        <v>Δωρίδος</v>
      </c>
    </row>
    <row r="242" spans="1:15" x14ac:dyDescent="0.25">
      <c r="A242" s="19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1" t="s">
        <v>820</v>
      </c>
      <c r="G242" s="19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3">
        <f t="shared" si="22"/>
        <v>309</v>
      </c>
      <c r="L242" t="str">
        <f t="shared" si="23"/>
        <v>ΣΤΕΡΕΑΣ ΕΛΛΑΔΑΣ</v>
      </c>
      <c r="M242" t="str">
        <f t="shared" si="24"/>
        <v>ΣΤΕΡΕΑΣ ΕΛΛΑΔΑΣ - ΕΡΕΤΡΙΑΣ</v>
      </c>
      <c r="N242" s="191">
        <f t="shared" si="26"/>
        <v>14094</v>
      </c>
      <c r="O242" s="191" t="str">
        <f t="shared" si="27"/>
        <v>Ερέτριας</v>
      </c>
    </row>
    <row r="243" spans="1:15" x14ac:dyDescent="0.25">
      <c r="A243" s="19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1" t="s">
        <v>821</v>
      </c>
      <c r="G243" s="19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3">
        <f t="shared" si="22"/>
        <v>310</v>
      </c>
      <c r="L243" t="str">
        <f t="shared" si="23"/>
        <v>ΣΤΕΡΕΑΣ ΕΛΛΑΔΑΣ</v>
      </c>
      <c r="M243" t="str">
        <f t="shared" si="24"/>
        <v>ΣΤΕΡΕΑΣ ΕΛΛΑΔΑΣ - ΘΗΒΑΙΩΝ</v>
      </c>
      <c r="N243" s="191">
        <f t="shared" si="26"/>
        <v>14132</v>
      </c>
      <c r="O243" s="191" t="str">
        <f t="shared" si="27"/>
        <v>Θηβαίων</v>
      </c>
    </row>
    <row r="244" spans="1:15" x14ac:dyDescent="0.25">
      <c r="A244" s="19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1" t="s">
        <v>822</v>
      </c>
      <c r="G244" s="19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3">
        <f t="shared" si="22"/>
        <v>311</v>
      </c>
      <c r="L244" t="str">
        <f t="shared" si="23"/>
        <v>ΣΤΕΡΕΑΣ ΕΛΛΑΔΑΣ</v>
      </c>
      <c r="M244" t="str">
        <f t="shared" si="24"/>
        <v>ΣΤΕΡΕΑΣ ΕΛΛΑΔΑΣ - ΙΣΤΙΑΙΑΣ – ΑΙΔΗΨΟΥ</v>
      </c>
      <c r="N244" s="191">
        <f t="shared" si="26"/>
        <v>14152</v>
      </c>
      <c r="O244" s="191" t="str">
        <f t="shared" si="27"/>
        <v>Ιστιαίας - Αιδηψού</v>
      </c>
    </row>
    <row r="245" spans="1:15" x14ac:dyDescent="0.25">
      <c r="A245" s="19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1" t="s">
        <v>823</v>
      </c>
      <c r="G245" s="19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3">
        <f t="shared" si="22"/>
        <v>312</v>
      </c>
      <c r="L245" t="str">
        <f t="shared" si="23"/>
        <v>ΣΤΕΡΕΑΣ ΕΛΛΑΔΑΣ</v>
      </c>
      <c r="M245" t="str">
        <f t="shared" si="24"/>
        <v>ΣΤΕΡΕΑΣ ΕΛΛΑΔΑΣ - ΚΑΡΠΕΝΗΣΙΟΥ</v>
      </c>
      <c r="N245" s="191">
        <f t="shared" si="26"/>
        <v>14194</v>
      </c>
      <c r="O245" s="191" t="str">
        <f t="shared" si="27"/>
        <v>Καρπενησίου</v>
      </c>
    </row>
    <row r="246" spans="1:15" x14ac:dyDescent="0.25">
      <c r="A246" s="19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1" t="s">
        <v>824</v>
      </c>
      <c r="G246" s="191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3">
        <f t="shared" si="22"/>
        <v>314</v>
      </c>
      <c r="L246" t="str">
        <f t="shared" si="23"/>
        <v>ΣΤΕΡΕΑΣ ΕΛΛΑΔΑΣ</v>
      </c>
      <c r="M246" t="str">
        <f t="shared" si="24"/>
        <v>ΣΤΕΡΕΑΣ ΕΛΛΑΔΑΣ - ΚΥΜΗΣ – ΑΛΙΒΕΡΙΟΥ</v>
      </c>
      <c r="N246" s="191">
        <f t="shared" si="26"/>
        <v>14234</v>
      </c>
      <c r="O246" s="191" t="str">
        <f t="shared" si="27"/>
        <v>Κύμης - Αλιβερίου</v>
      </c>
    </row>
    <row r="247" spans="1:15" x14ac:dyDescent="0.25">
      <c r="A247" s="19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1" t="s">
        <v>825</v>
      </c>
      <c r="G247" s="19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3">
        <f t="shared" si="22"/>
        <v>315</v>
      </c>
      <c r="L247" t="str">
        <f t="shared" si="23"/>
        <v>ΣΤΕΡΕΑΣ ΕΛΛΑΔΑΣ</v>
      </c>
      <c r="M247" t="str">
        <f t="shared" si="24"/>
        <v>ΣΤΕΡΕΑΣ ΕΛΛΑΔΑΣ - ΛΑΜΙΕΩΝ</v>
      </c>
      <c r="N247" s="191">
        <f t="shared" si="26"/>
        <v>14236</v>
      </c>
      <c r="O247" s="191" t="str">
        <f t="shared" si="27"/>
        <v>Λαμιέων</v>
      </c>
    </row>
    <row r="248" spans="1:15" x14ac:dyDescent="0.25">
      <c r="A248" s="19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1" t="s">
        <v>826</v>
      </c>
      <c r="G248" s="19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3">
        <f t="shared" si="22"/>
        <v>316</v>
      </c>
      <c r="L248" t="str">
        <f t="shared" si="23"/>
        <v>ΣΤΕΡΕΑΣ ΕΛΛΑΔΑΣ</v>
      </c>
      <c r="M248" t="str">
        <f t="shared" si="24"/>
        <v>ΣΤΕΡΕΑΣ ΕΛΛΑΔΑΣ - ΛΕΒΑΔΕΩΝ</v>
      </c>
      <c r="N248" s="191">
        <f t="shared" si="26"/>
        <v>14250</v>
      </c>
      <c r="O248" s="191" t="str">
        <f t="shared" si="27"/>
        <v>Λεβαδέων</v>
      </c>
    </row>
    <row r="249" spans="1:15" x14ac:dyDescent="0.25">
      <c r="A249" s="19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1" t="s">
        <v>827</v>
      </c>
      <c r="G249" s="19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3">
        <f t="shared" si="22"/>
        <v>318</v>
      </c>
      <c r="L249" t="str">
        <f t="shared" si="23"/>
        <v>ΣΤΕΡΕΑΣ ΕΛΛΑΔΑΣ</v>
      </c>
      <c r="M249" t="str">
        <f t="shared" si="24"/>
        <v>ΣΤΕΡΕΑΣ ΕΛΛΑΔΑΣ - ΜΑΚΡΑΚΩΜΗΣ</v>
      </c>
      <c r="N249" s="191">
        <f t="shared" si="26"/>
        <v>14262</v>
      </c>
      <c r="O249" s="191" t="str">
        <f t="shared" si="27"/>
        <v>Μακρακώμης</v>
      </c>
    </row>
    <row r="250" spans="1:15" x14ac:dyDescent="0.25">
      <c r="A250" s="19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1" t="s">
        <v>828</v>
      </c>
      <c r="G250" s="191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193">
        <f t="shared" si="22"/>
        <v>319</v>
      </c>
      <c r="L250" t="str">
        <f t="shared" si="23"/>
        <v>ΣΤΕΡΕΑΣ ΕΛΛΑΔΑΣ</v>
      </c>
      <c r="M250" t="str">
        <f t="shared" si="24"/>
        <v>ΣΤΕΡΕΑΣ ΕΛΛΑΔΑΣ - ΜΑΝΤΟΥΔΙΟΥ – ΛΙΜΝΗΣ – ΑΓΙΑΣ ΑΝΝΑΣ</v>
      </c>
      <c r="N250" s="191">
        <f t="shared" si="26"/>
        <v>14276</v>
      </c>
      <c r="O250" s="191" t="str">
        <f t="shared" si="27"/>
        <v>Μαντουδίου - Λίμνης - Αγίας Άννας</v>
      </c>
    </row>
    <row r="251" spans="1:15" x14ac:dyDescent="0.25">
      <c r="A251" s="19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1" t="s">
        <v>829</v>
      </c>
      <c r="G251" s="19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193">
        <f t="shared" si="22"/>
        <v>320</v>
      </c>
      <c r="L251" t="str">
        <f t="shared" si="23"/>
        <v>ΣΤΕΡΕΑΣ ΕΛΛΑΔΑΣ</v>
      </c>
      <c r="M251" t="str">
        <f t="shared" si="24"/>
        <v>ΣΤΕΡΕΑΣ ΕΛΛΑΔΑΣ - ΜΩΛΟΥ – ΑΓΙΟΥ ΚΩΝΣΤΑΝΤΙΝΟΥ</v>
      </c>
      <c r="N251" s="191">
        <f t="shared" si="26"/>
        <v>14308</v>
      </c>
      <c r="O251" s="191" t="str">
        <f t="shared" si="27"/>
        <v>Μώλου - Αγ. Κωνσταντίνου</v>
      </c>
    </row>
    <row r="252" spans="1:15" x14ac:dyDescent="0.25">
      <c r="A252" s="19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1" t="s">
        <v>830</v>
      </c>
      <c r="G252" s="19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3">
        <f t="shared" si="22"/>
        <v>321</v>
      </c>
      <c r="L252" t="str">
        <f t="shared" si="23"/>
        <v>ΣΤΕΡΕΑΣ ΕΛΛΑΔΑΣ</v>
      </c>
      <c r="M252" t="str">
        <f t="shared" si="24"/>
        <v>ΣΤΕΡΕΑΣ ΕΛΛΑΔΑΣ - ΟΡΧΟΜΕΝΟΥ</v>
      </c>
      <c r="N252" s="191">
        <f t="shared" si="26"/>
        <v>14356</v>
      </c>
      <c r="O252" s="191" t="str">
        <f t="shared" si="27"/>
        <v>Ορχομενού</v>
      </c>
    </row>
    <row r="253" spans="1:15" x14ac:dyDescent="0.25">
      <c r="A253" s="19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1" t="s">
        <v>831</v>
      </c>
      <c r="G253" s="19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3">
        <f t="shared" si="22"/>
        <v>323</v>
      </c>
      <c r="L253" t="str">
        <f t="shared" si="23"/>
        <v>ΣΤΕΡΕΑΣ ΕΛΛΑΔΑΣ</v>
      </c>
      <c r="M253" t="str">
        <f t="shared" si="24"/>
        <v>ΣΤΕΡΕΑΣ ΕΛΛΑΔΑΣ - ΣΤΥΛΙΔΟΣ</v>
      </c>
      <c r="N253" s="191">
        <f t="shared" si="26"/>
        <v>14484</v>
      </c>
      <c r="O253" s="191" t="str">
        <f t="shared" si="27"/>
        <v>Στυλίδας</v>
      </c>
    </row>
    <row r="254" spans="1:15" x14ac:dyDescent="0.25">
      <c r="A254" s="19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1" t="s">
        <v>832</v>
      </c>
      <c r="G254" s="19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3">
        <f t="shared" si="22"/>
        <v>325</v>
      </c>
      <c r="L254" t="str">
        <f t="shared" si="23"/>
        <v>ΣΤΕΡΕΑΣ ΕΛΛΑΔΑΣ</v>
      </c>
      <c r="M254" t="str">
        <f t="shared" si="24"/>
        <v>ΣΤΕΡΕΑΣ ΕΛΛΑΔΑΣ - ΧΑΛΚΙΔΕΩΝ</v>
      </c>
      <c r="N254" s="191">
        <f t="shared" si="26"/>
        <v>14538</v>
      </c>
      <c r="O254" s="191" t="str">
        <f t="shared" si="27"/>
        <v>Χαλκιδέων</v>
      </c>
    </row>
    <row r="255" spans="1:15" x14ac:dyDescent="0.25">
      <c r="A255" s="19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1" t="s">
        <v>833</v>
      </c>
      <c r="G255" s="19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3" t="e">
        <f t="shared" si="22"/>
        <v>#NUM!</v>
      </c>
      <c r="L255" t="str">
        <f t="shared" si="23"/>
        <v/>
      </c>
      <c r="M255" t="str">
        <f t="shared" si="24"/>
        <v/>
      </c>
      <c r="N255" s="191" t="str">
        <f t="shared" si="26"/>
        <v/>
      </c>
      <c r="O255" s="191" t="str">
        <f t="shared" si="27"/>
        <v/>
      </c>
    </row>
    <row r="256" spans="1:15" x14ac:dyDescent="0.25">
      <c r="A256" s="19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1" t="s">
        <v>834</v>
      </c>
      <c r="G256" s="191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3" t="e">
        <f t="shared" si="22"/>
        <v>#NUM!</v>
      </c>
      <c r="L256" t="str">
        <f t="shared" si="23"/>
        <v/>
      </c>
      <c r="M256" t="str">
        <f t="shared" si="24"/>
        <v/>
      </c>
      <c r="N256" s="191" t="str">
        <f t="shared" si="26"/>
        <v/>
      </c>
      <c r="O256" s="191" t="str">
        <f t="shared" si="27"/>
        <v/>
      </c>
    </row>
    <row r="257" spans="1:15" x14ac:dyDescent="0.25">
      <c r="A257" s="19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1" t="s">
        <v>835</v>
      </c>
      <c r="G257" s="19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3" t="e">
        <f t="shared" si="22"/>
        <v>#NUM!</v>
      </c>
      <c r="L257" t="str">
        <f t="shared" si="23"/>
        <v/>
      </c>
      <c r="M257" t="str">
        <f t="shared" si="24"/>
        <v/>
      </c>
      <c r="N257" s="191" t="str">
        <f t="shared" si="26"/>
        <v/>
      </c>
      <c r="O257" s="191" t="str">
        <f t="shared" si="27"/>
        <v/>
      </c>
    </row>
    <row r="258" spans="1:15" x14ac:dyDescent="0.25">
      <c r="A258" s="19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1" t="s">
        <v>836</v>
      </c>
      <c r="G258" s="19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193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1" t="str">
        <f t="shared" si="26"/>
        <v/>
      </c>
      <c r="O258" s="191" t="str">
        <f t="shared" si="27"/>
        <v/>
      </c>
    </row>
    <row r="259" spans="1:15" x14ac:dyDescent="0.25">
      <c r="A259" s="19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1" t="s">
        <v>837</v>
      </c>
      <c r="G259" s="19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3" t="e">
        <f t="shared" si="29"/>
        <v>#NUM!</v>
      </c>
      <c r="L259" t="str">
        <f t="shared" si="30"/>
        <v/>
      </c>
      <c r="M259" t="str">
        <f t="shared" si="31"/>
        <v/>
      </c>
      <c r="N259" s="191" t="str">
        <f t="shared" ref="N259:N322" si="33">IF(ISNUMBER(K259),LOOKUP(K259,A:A,G:G),"")</f>
        <v/>
      </c>
      <c r="O259" s="191" t="str">
        <f t="shared" ref="O259:O322" si="34">IF(ISNUMBER(K259),LOOKUP(K259,A:A,F:F),"")</f>
        <v/>
      </c>
    </row>
    <row r="260" spans="1:15" x14ac:dyDescent="0.25">
      <c r="A260" s="19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1" t="s">
        <v>838</v>
      </c>
      <c r="G260" s="19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3" t="e">
        <f t="shared" si="29"/>
        <v>#NUM!</v>
      </c>
      <c r="L260" t="str">
        <f t="shared" si="30"/>
        <v/>
      </c>
      <c r="M260" t="str">
        <f t="shared" si="31"/>
        <v/>
      </c>
      <c r="N260" s="191" t="str">
        <f t="shared" si="33"/>
        <v/>
      </c>
      <c r="O260" s="191" t="str">
        <f t="shared" si="34"/>
        <v/>
      </c>
    </row>
    <row r="261" spans="1:15" x14ac:dyDescent="0.25">
      <c r="A261" s="19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1" t="s">
        <v>839</v>
      </c>
      <c r="G261" s="191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3" t="e">
        <f t="shared" si="29"/>
        <v>#NUM!</v>
      </c>
      <c r="L261" t="str">
        <f t="shared" si="30"/>
        <v/>
      </c>
      <c r="M261" t="str">
        <f t="shared" si="31"/>
        <v/>
      </c>
      <c r="N261" s="191" t="str">
        <f t="shared" si="33"/>
        <v/>
      </c>
      <c r="O261" s="191" t="str">
        <f t="shared" si="34"/>
        <v/>
      </c>
    </row>
    <row r="262" spans="1:15" x14ac:dyDescent="0.25">
      <c r="A262" s="19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1" t="s">
        <v>840</v>
      </c>
      <c r="G262" s="191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193" t="e">
        <f t="shared" si="29"/>
        <v>#NUM!</v>
      </c>
      <c r="L262" t="str">
        <f t="shared" si="30"/>
        <v/>
      </c>
      <c r="M262" t="str">
        <f t="shared" si="31"/>
        <v/>
      </c>
      <c r="N262" s="191" t="str">
        <f t="shared" si="33"/>
        <v/>
      </c>
      <c r="O262" s="191" t="str">
        <f t="shared" si="34"/>
        <v/>
      </c>
    </row>
    <row r="263" spans="1:15" x14ac:dyDescent="0.25">
      <c r="A263" s="19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1" t="s">
        <v>841</v>
      </c>
      <c r="G263" s="19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3" t="e">
        <f t="shared" si="29"/>
        <v>#NUM!</v>
      </c>
      <c r="L263" t="str">
        <f t="shared" si="30"/>
        <v/>
      </c>
      <c r="M263" t="str">
        <f t="shared" si="31"/>
        <v/>
      </c>
      <c r="N263" s="191" t="str">
        <f t="shared" si="33"/>
        <v/>
      </c>
      <c r="O263" s="191" t="str">
        <f t="shared" si="34"/>
        <v/>
      </c>
    </row>
    <row r="264" spans="1:15" x14ac:dyDescent="0.25">
      <c r="A264" s="19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1" t="s">
        <v>842</v>
      </c>
      <c r="G264" s="191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193" t="e">
        <f t="shared" si="29"/>
        <v>#NUM!</v>
      </c>
      <c r="L264" t="str">
        <f t="shared" si="30"/>
        <v/>
      </c>
      <c r="M264" t="str">
        <f t="shared" si="31"/>
        <v/>
      </c>
      <c r="N264" s="191" t="str">
        <f t="shared" si="33"/>
        <v/>
      </c>
      <c r="O264" s="191" t="str">
        <f t="shared" si="34"/>
        <v/>
      </c>
    </row>
    <row r="265" spans="1:15" x14ac:dyDescent="0.25">
      <c r="A265" s="19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1" t="s">
        <v>843</v>
      </c>
      <c r="G265" s="19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193" t="e">
        <f t="shared" si="29"/>
        <v>#NUM!</v>
      </c>
      <c r="L265" t="str">
        <f t="shared" si="30"/>
        <v/>
      </c>
      <c r="M265" t="str">
        <f t="shared" si="31"/>
        <v/>
      </c>
      <c r="N265" s="191" t="str">
        <f t="shared" si="33"/>
        <v/>
      </c>
      <c r="O265" s="191" t="str">
        <f t="shared" si="34"/>
        <v/>
      </c>
    </row>
    <row r="266" spans="1:15" x14ac:dyDescent="0.25">
      <c r="A266" s="19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1" t="s">
        <v>844</v>
      </c>
      <c r="G266" s="191">
        <v>14436</v>
      </c>
      <c r="H266" t="str">
        <f>_xlfn.IFNA(INDEX(DimosNaiOxi,MATCH(ΤΚ!E266,DimosNai,0)),"")</f>
        <v/>
      </c>
      <c r="I266" t="str">
        <f>LOOKUP(B266,ΠΕΡΙΦΕΡΕΙΑ!$A$2:$A$14,ΠΕΡΙΦΕΡΕΙΑ!$B$2:$B$14)</f>
        <v>Μερική</v>
      </c>
      <c r="J266" t="str">
        <f t="shared" si="32"/>
        <v/>
      </c>
      <c r="K266" s="193" t="e">
        <f t="shared" si="29"/>
        <v>#NUM!</v>
      </c>
      <c r="L266" t="str">
        <f t="shared" si="30"/>
        <v/>
      </c>
      <c r="M266" t="str">
        <f t="shared" si="31"/>
        <v/>
      </c>
      <c r="N266" s="191" t="str">
        <f t="shared" si="33"/>
        <v/>
      </c>
      <c r="O266" s="191" t="str">
        <f t="shared" si="34"/>
        <v/>
      </c>
    </row>
    <row r="267" spans="1:15" x14ac:dyDescent="0.25">
      <c r="A267" s="19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1" t="s">
        <v>845</v>
      </c>
      <c r="G267" s="19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3" t="e">
        <f t="shared" si="29"/>
        <v>#NUM!</v>
      </c>
      <c r="L267" t="str">
        <f t="shared" si="30"/>
        <v/>
      </c>
      <c r="M267" t="str">
        <f t="shared" si="31"/>
        <v/>
      </c>
      <c r="N267" s="191" t="str">
        <f t="shared" si="33"/>
        <v/>
      </c>
      <c r="O267" s="191" t="str">
        <f t="shared" si="34"/>
        <v/>
      </c>
    </row>
    <row r="268" spans="1:15" x14ac:dyDescent="0.25">
      <c r="A268" s="19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1" t="s">
        <v>846</v>
      </c>
      <c r="G268" s="19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3" t="e">
        <f t="shared" si="29"/>
        <v>#NUM!</v>
      </c>
      <c r="L268" t="str">
        <f t="shared" si="30"/>
        <v/>
      </c>
      <c r="M268" t="str">
        <f t="shared" si="31"/>
        <v/>
      </c>
      <c r="N268" s="191" t="str">
        <f t="shared" si="33"/>
        <v/>
      </c>
      <c r="O268" s="191" t="str">
        <f t="shared" si="34"/>
        <v/>
      </c>
    </row>
    <row r="269" spans="1:15" x14ac:dyDescent="0.25">
      <c r="A269" s="19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1" t="s">
        <v>847</v>
      </c>
      <c r="G269" s="19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3" t="e">
        <f t="shared" si="29"/>
        <v>#NUM!</v>
      </c>
      <c r="L269" t="str">
        <f t="shared" si="30"/>
        <v/>
      </c>
      <c r="M269" t="str">
        <f t="shared" si="31"/>
        <v/>
      </c>
      <c r="N269" s="191" t="str">
        <f t="shared" si="33"/>
        <v/>
      </c>
      <c r="O269" s="191" t="str">
        <f t="shared" si="34"/>
        <v/>
      </c>
    </row>
    <row r="270" spans="1:15" x14ac:dyDescent="0.25">
      <c r="A270" s="19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1" t="s">
        <v>848</v>
      </c>
      <c r="G270" s="19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3" t="e">
        <f t="shared" si="29"/>
        <v>#NUM!</v>
      </c>
      <c r="L270" t="str">
        <f t="shared" si="30"/>
        <v/>
      </c>
      <c r="M270" t="str">
        <f t="shared" si="31"/>
        <v/>
      </c>
      <c r="N270" s="191" t="str">
        <f t="shared" si="33"/>
        <v/>
      </c>
      <c r="O270" s="191" t="str">
        <f t="shared" si="34"/>
        <v/>
      </c>
    </row>
    <row r="271" spans="1:15" x14ac:dyDescent="0.25">
      <c r="A271" s="19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1" t="s">
        <v>849</v>
      </c>
      <c r="G271" s="191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193" t="e">
        <f t="shared" si="29"/>
        <v>#NUM!</v>
      </c>
      <c r="L271" t="str">
        <f t="shared" si="30"/>
        <v/>
      </c>
      <c r="M271" t="str">
        <f t="shared" si="31"/>
        <v/>
      </c>
      <c r="N271" s="191" t="str">
        <f t="shared" si="33"/>
        <v/>
      </c>
      <c r="O271" s="191" t="str">
        <f t="shared" si="34"/>
        <v/>
      </c>
    </row>
    <row r="272" spans="1:15" x14ac:dyDescent="0.25">
      <c r="A272" s="19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1" t="s">
        <v>850</v>
      </c>
      <c r="G272" s="19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3" t="e">
        <f t="shared" si="29"/>
        <v>#NUM!</v>
      </c>
      <c r="L272" t="str">
        <f t="shared" si="30"/>
        <v/>
      </c>
      <c r="M272" t="str">
        <f t="shared" si="31"/>
        <v/>
      </c>
      <c r="N272" s="191" t="str">
        <f t="shared" si="33"/>
        <v/>
      </c>
      <c r="O272" s="191" t="str">
        <f t="shared" si="34"/>
        <v/>
      </c>
    </row>
    <row r="273" spans="1:15" x14ac:dyDescent="0.25">
      <c r="A273" s="19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1" t="s">
        <v>851</v>
      </c>
      <c r="G273" s="191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193" t="e">
        <f t="shared" si="29"/>
        <v>#NUM!</v>
      </c>
      <c r="L273" t="str">
        <f t="shared" si="30"/>
        <v/>
      </c>
      <c r="M273" t="str">
        <f t="shared" si="31"/>
        <v/>
      </c>
      <c r="N273" s="191" t="str">
        <f t="shared" si="33"/>
        <v/>
      </c>
      <c r="O273" s="191" t="str">
        <f t="shared" si="34"/>
        <v/>
      </c>
    </row>
    <row r="274" spans="1:15" x14ac:dyDescent="0.25">
      <c r="A274" s="19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1" t="s">
        <v>852</v>
      </c>
      <c r="G274" s="19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3" t="e">
        <f t="shared" si="29"/>
        <v>#NUM!</v>
      </c>
      <c r="L274" t="str">
        <f t="shared" si="30"/>
        <v/>
      </c>
      <c r="M274" t="str">
        <f t="shared" si="31"/>
        <v/>
      </c>
      <c r="N274" s="191" t="str">
        <f t="shared" si="33"/>
        <v/>
      </c>
      <c r="O274" s="191" t="str">
        <f t="shared" si="34"/>
        <v/>
      </c>
    </row>
    <row r="275" spans="1:15" x14ac:dyDescent="0.25">
      <c r="A275" s="19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1" t="s">
        <v>853</v>
      </c>
      <c r="G275" s="19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3" t="e">
        <f t="shared" si="29"/>
        <v>#NUM!</v>
      </c>
      <c r="L275" t="str">
        <f t="shared" si="30"/>
        <v/>
      </c>
      <c r="M275" t="str">
        <f t="shared" si="31"/>
        <v/>
      </c>
      <c r="N275" s="191" t="str">
        <f t="shared" si="33"/>
        <v/>
      </c>
      <c r="O275" s="191" t="str">
        <f t="shared" si="34"/>
        <v/>
      </c>
    </row>
    <row r="276" spans="1:15" x14ac:dyDescent="0.25">
      <c r="A276" s="19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1" t="s">
        <v>854</v>
      </c>
      <c r="G276" s="191">
        <v>13980</v>
      </c>
      <c r="H276" t="str">
        <f>_xlfn.IFNA(INDEX(DimosNaiOxi,MATCH(ΤΚ!E276,DimosNai,0)),"")</f>
        <v>ΝΑΙ</v>
      </c>
      <c r="I276" t="str">
        <f>LOOKUP(B276,ΠΕΡΙΦΕΡΕΙΑ!$A$2:$A$14,ΠΕΡΙΦΕΡΕΙΑ!$B$2:$B$14)</f>
        <v>Μερική</v>
      </c>
      <c r="J276">
        <f t="shared" si="32"/>
        <v>275</v>
      </c>
      <c r="K276" s="193" t="e">
        <f t="shared" si="29"/>
        <v>#NUM!</v>
      </c>
      <c r="L276" t="str">
        <f t="shared" si="30"/>
        <v/>
      </c>
      <c r="M276" t="str">
        <f t="shared" si="31"/>
        <v/>
      </c>
      <c r="N276" s="191" t="str">
        <f t="shared" si="33"/>
        <v/>
      </c>
      <c r="O276" s="191" t="str">
        <f t="shared" si="34"/>
        <v/>
      </c>
    </row>
    <row r="277" spans="1:15" x14ac:dyDescent="0.25">
      <c r="A277" s="19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1" t="s">
        <v>855</v>
      </c>
      <c r="G277" s="191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3" t="e">
        <f t="shared" si="29"/>
        <v>#NUM!</v>
      </c>
      <c r="L277" t="str">
        <f t="shared" si="30"/>
        <v/>
      </c>
      <c r="M277" t="str">
        <f t="shared" si="31"/>
        <v/>
      </c>
      <c r="N277" s="191" t="str">
        <f t="shared" si="33"/>
        <v/>
      </c>
      <c r="O277" s="191" t="str">
        <f t="shared" si="34"/>
        <v/>
      </c>
    </row>
    <row r="278" spans="1:15" x14ac:dyDescent="0.25">
      <c r="A278" s="19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1" t="s">
        <v>856</v>
      </c>
      <c r="G278" s="191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193" t="e">
        <f t="shared" si="29"/>
        <v>#NUM!</v>
      </c>
      <c r="L278" t="str">
        <f t="shared" si="30"/>
        <v/>
      </c>
      <c r="M278" t="str">
        <f t="shared" si="31"/>
        <v/>
      </c>
      <c r="N278" s="191" t="str">
        <f t="shared" si="33"/>
        <v/>
      </c>
      <c r="O278" s="191" t="str">
        <f t="shared" si="34"/>
        <v/>
      </c>
    </row>
    <row r="279" spans="1:15" x14ac:dyDescent="0.25">
      <c r="A279" s="19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1" t="s">
        <v>857</v>
      </c>
      <c r="G279" s="191">
        <v>14020</v>
      </c>
      <c r="H279" t="str">
        <f>_xlfn.IFNA(INDEX(DimosNaiOxi,MATCH(ΤΚ!E279,DimosNai,0)),"")</f>
        <v>ΝΑΙ</v>
      </c>
      <c r="I279" t="str">
        <f>LOOKUP(B279,ΠΕΡΙΦΕΡΕΙΑ!$A$2:$A$14,ΠΕΡΙΦΕΡΕΙΑ!$B$2:$B$14)</f>
        <v>Μερική</v>
      </c>
      <c r="J279">
        <f t="shared" si="32"/>
        <v>278</v>
      </c>
      <c r="K279" s="193" t="e">
        <f t="shared" si="29"/>
        <v>#NUM!</v>
      </c>
      <c r="L279" t="str">
        <f t="shared" si="30"/>
        <v/>
      </c>
      <c r="M279" t="str">
        <f t="shared" si="31"/>
        <v/>
      </c>
      <c r="N279" s="191" t="str">
        <f t="shared" si="33"/>
        <v/>
      </c>
      <c r="O279" s="191" t="str">
        <f t="shared" si="34"/>
        <v/>
      </c>
    </row>
    <row r="280" spans="1:15" x14ac:dyDescent="0.25">
      <c r="A280" s="19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1" t="s">
        <v>858</v>
      </c>
      <c r="G280" s="191">
        <v>14046</v>
      </c>
      <c r="H280" t="str">
        <f>_xlfn.IFNA(INDEX(DimosNaiOxi,MATCH(ΤΚ!E280,DimosNai,0)),"")</f>
        <v>ΝΑΙ</v>
      </c>
      <c r="I280" t="str">
        <f>LOOKUP(B280,ΠΕΡΙΦΕΡΕΙΑ!$A$2:$A$14,ΠΕΡΙΦΕΡΕΙΑ!$B$2:$B$14)</f>
        <v>Μερική</v>
      </c>
      <c r="J280">
        <f t="shared" si="32"/>
        <v>279</v>
      </c>
      <c r="K280" s="193" t="e">
        <f t="shared" si="29"/>
        <v>#NUM!</v>
      </c>
      <c r="L280" t="str">
        <f t="shared" si="30"/>
        <v/>
      </c>
      <c r="M280" t="str">
        <f t="shared" si="31"/>
        <v/>
      </c>
      <c r="N280" s="191" t="str">
        <f t="shared" si="33"/>
        <v/>
      </c>
      <c r="O280" s="191" t="str">
        <f t="shared" si="34"/>
        <v/>
      </c>
    </row>
    <row r="281" spans="1:15" x14ac:dyDescent="0.25">
      <c r="A281" s="19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1" t="s">
        <v>859</v>
      </c>
      <c r="G281" s="191">
        <v>14074</v>
      </c>
      <c r="H281" t="str">
        <f>_xlfn.IFNA(INDEX(DimosNaiOxi,MATCH(ΤΚ!E281,DimosNai,0)),"")</f>
        <v>ΝΑΙ</v>
      </c>
      <c r="I281" t="str">
        <f>LOOKUP(B281,ΠΕΡΙΦΕΡΕΙΑ!$A$2:$A$14,ΠΕΡΙΦΕΡΕΙΑ!$B$2:$B$14)</f>
        <v>Μερική</v>
      </c>
      <c r="J281">
        <f t="shared" si="32"/>
        <v>280</v>
      </c>
      <c r="K281" s="193" t="e">
        <f t="shared" si="29"/>
        <v>#NUM!</v>
      </c>
      <c r="L281" t="str">
        <f t="shared" si="30"/>
        <v/>
      </c>
      <c r="M281" t="str">
        <f t="shared" si="31"/>
        <v/>
      </c>
      <c r="N281" s="191" t="str">
        <f t="shared" si="33"/>
        <v/>
      </c>
      <c r="O281" s="191" t="str">
        <f t="shared" si="34"/>
        <v/>
      </c>
    </row>
    <row r="282" spans="1:15" x14ac:dyDescent="0.25">
      <c r="A282" s="19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1" t="s">
        <v>860</v>
      </c>
      <c r="G282" s="19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3" t="e">
        <f t="shared" si="29"/>
        <v>#NUM!</v>
      </c>
      <c r="L282" t="str">
        <f t="shared" si="30"/>
        <v/>
      </c>
      <c r="M282" t="str">
        <f t="shared" si="31"/>
        <v/>
      </c>
      <c r="N282" s="191" t="str">
        <f t="shared" si="33"/>
        <v/>
      </c>
      <c r="O282" s="191" t="str">
        <f t="shared" si="34"/>
        <v/>
      </c>
    </row>
    <row r="283" spans="1:15" x14ac:dyDescent="0.25">
      <c r="A283" s="19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1" t="s">
        <v>861</v>
      </c>
      <c r="G283" s="191">
        <v>14092</v>
      </c>
      <c r="H283" t="str">
        <f>_xlfn.IFNA(INDEX(DimosNaiOxi,MATCH(ΤΚ!E283,DimosNai,0)),"")</f>
        <v>ΝΑΙ</v>
      </c>
      <c r="I283" t="str">
        <f>LOOKUP(B283,ΠΕΡΙΦΕΡΕΙΑ!$A$2:$A$14,ΠΕΡΙΦΕΡΕΙΑ!$B$2:$B$14)</f>
        <v>Μερική</v>
      </c>
      <c r="J283">
        <f t="shared" si="32"/>
        <v>282</v>
      </c>
      <c r="K283" s="193" t="e">
        <f t="shared" si="29"/>
        <v>#NUM!</v>
      </c>
      <c r="L283" t="str">
        <f t="shared" si="30"/>
        <v/>
      </c>
      <c r="M283" t="str">
        <f t="shared" si="31"/>
        <v/>
      </c>
      <c r="N283" s="191" t="str">
        <f t="shared" si="33"/>
        <v/>
      </c>
      <c r="O283" s="191" t="str">
        <f t="shared" si="34"/>
        <v/>
      </c>
    </row>
    <row r="284" spans="1:15" x14ac:dyDescent="0.25">
      <c r="A284" s="19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1" t="s">
        <v>862</v>
      </c>
      <c r="G284" s="191">
        <v>14096</v>
      </c>
      <c r="H284" t="str">
        <f>_xlfn.IFNA(INDEX(DimosNaiOxi,MATCH(ΤΚ!E284,DimosNai,0)),"")</f>
        <v>ΝΑΙ</v>
      </c>
      <c r="I284" t="str">
        <f>LOOKUP(B284,ΠΕΡΙΦΕΡΕΙΑ!$A$2:$A$14,ΠΕΡΙΦΕΡΕΙΑ!$B$2:$B$14)</f>
        <v>Μερική</v>
      </c>
      <c r="J284">
        <f t="shared" si="32"/>
        <v>283</v>
      </c>
      <c r="K284" s="193" t="e">
        <f t="shared" si="29"/>
        <v>#NUM!</v>
      </c>
      <c r="L284" t="str">
        <f t="shared" si="30"/>
        <v/>
      </c>
      <c r="M284" t="str">
        <f t="shared" si="31"/>
        <v/>
      </c>
      <c r="N284" s="191" t="str">
        <f t="shared" si="33"/>
        <v/>
      </c>
      <c r="O284" s="191" t="str">
        <f t="shared" si="34"/>
        <v/>
      </c>
    </row>
    <row r="285" spans="1:15" x14ac:dyDescent="0.25">
      <c r="A285" s="19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1" t="s">
        <v>863</v>
      </c>
      <c r="G285" s="191">
        <v>14100</v>
      </c>
      <c r="H285" t="str">
        <f>_xlfn.IFNA(INDEX(DimosNaiOxi,MATCH(ΤΚ!E285,DimosNai,0)),"")</f>
        <v>ΝΑΙ</v>
      </c>
      <c r="I285" t="str">
        <f>LOOKUP(B285,ΠΕΡΙΦΕΡΕΙΑ!$A$2:$A$14,ΠΕΡΙΦΕΡΕΙΑ!$B$2:$B$14)</f>
        <v>Μερική</v>
      </c>
      <c r="J285">
        <f t="shared" si="32"/>
        <v>284</v>
      </c>
      <c r="K285" s="193" t="e">
        <f t="shared" si="29"/>
        <v>#NUM!</v>
      </c>
      <c r="L285" t="str">
        <f t="shared" si="30"/>
        <v/>
      </c>
      <c r="M285" t="str">
        <f t="shared" si="31"/>
        <v/>
      </c>
      <c r="N285" s="191" t="str">
        <f t="shared" si="33"/>
        <v/>
      </c>
      <c r="O285" s="191" t="str">
        <f t="shared" si="34"/>
        <v/>
      </c>
    </row>
    <row r="286" spans="1:15" x14ac:dyDescent="0.25">
      <c r="A286" s="19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1" t="s">
        <v>864</v>
      </c>
      <c r="G286" s="191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3" t="e">
        <f t="shared" si="29"/>
        <v>#NUM!</v>
      </c>
      <c r="L286" t="str">
        <f t="shared" si="30"/>
        <v/>
      </c>
      <c r="M286" t="str">
        <f t="shared" si="31"/>
        <v/>
      </c>
      <c r="N286" s="191" t="str">
        <f t="shared" si="33"/>
        <v/>
      </c>
      <c r="O286" s="191" t="str">
        <f t="shared" si="34"/>
        <v/>
      </c>
    </row>
    <row r="287" spans="1:15" x14ac:dyDescent="0.25">
      <c r="A287" s="19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1" t="s">
        <v>865</v>
      </c>
      <c r="G287" s="191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3" t="e">
        <f t="shared" si="29"/>
        <v>#NUM!</v>
      </c>
      <c r="L287" t="str">
        <f t="shared" si="30"/>
        <v/>
      </c>
      <c r="M287" t="str">
        <f t="shared" si="31"/>
        <v/>
      </c>
      <c r="N287" s="191" t="str">
        <f t="shared" si="33"/>
        <v/>
      </c>
      <c r="O287" s="191" t="str">
        <f t="shared" si="34"/>
        <v/>
      </c>
    </row>
    <row r="288" spans="1:15" x14ac:dyDescent="0.25">
      <c r="A288" s="19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1" t="s">
        <v>866</v>
      </c>
      <c r="G288" s="191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3" t="e">
        <f t="shared" si="29"/>
        <v>#NUM!</v>
      </c>
      <c r="L288" t="str">
        <f t="shared" si="30"/>
        <v/>
      </c>
      <c r="M288" t="str">
        <f t="shared" si="31"/>
        <v/>
      </c>
      <c r="N288" s="191" t="str">
        <f t="shared" si="33"/>
        <v/>
      </c>
      <c r="O288" s="191" t="str">
        <f t="shared" si="34"/>
        <v/>
      </c>
    </row>
    <row r="289" spans="1:15" x14ac:dyDescent="0.25">
      <c r="A289" s="19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1" t="s">
        <v>867</v>
      </c>
      <c r="G289" s="191">
        <v>14282</v>
      </c>
      <c r="H289" t="str">
        <f>_xlfn.IFNA(INDEX(DimosNaiOxi,MATCH(ΤΚ!E289,DimosNai,0)),"")</f>
        <v>ΝΑΙ</v>
      </c>
      <c r="I289" t="str">
        <f>LOOKUP(B289,ΠΕΡΙΦΕΡΕΙΑ!$A$2:$A$14,ΠΕΡΙΦΕΡΕΙΑ!$B$2:$B$14)</f>
        <v>Μερική</v>
      </c>
      <c r="J289">
        <f t="shared" si="32"/>
        <v>288</v>
      </c>
      <c r="K289" s="193" t="e">
        <f t="shared" si="29"/>
        <v>#NUM!</v>
      </c>
      <c r="L289" t="str">
        <f t="shared" si="30"/>
        <v/>
      </c>
      <c r="M289" t="str">
        <f t="shared" si="31"/>
        <v/>
      </c>
      <c r="N289" s="191" t="str">
        <f t="shared" si="33"/>
        <v/>
      </c>
      <c r="O289" s="191" t="str">
        <f t="shared" si="34"/>
        <v/>
      </c>
    </row>
    <row r="290" spans="1:15" x14ac:dyDescent="0.25">
      <c r="A290" s="19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1" t="s">
        <v>868</v>
      </c>
      <c r="G290" s="191">
        <v>14292</v>
      </c>
      <c r="H290" t="str">
        <f>_xlfn.IFNA(INDEX(DimosNaiOxi,MATCH(ΤΚ!E290,DimosNai,0)),"")</f>
        <v>ΝΑΙ</v>
      </c>
      <c r="I290" t="str">
        <f>LOOKUP(B290,ΠΕΡΙΦΕΡΕΙΑ!$A$2:$A$14,ΠΕΡΙΦΕΡΕΙΑ!$B$2:$B$14)</f>
        <v>Μερική</v>
      </c>
      <c r="J290">
        <f t="shared" si="32"/>
        <v>289</v>
      </c>
      <c r="K290" s="193" t="e">
        <f t="shared" si="29"/>
        <v>#NUM!</v>
      </c>
      <c r="L290" t="str">
        <f t="shared" si="30"/>
        <v/>
      </c>
      <c r="M290" t="str">
        <f t="shared" si="31"/>
        <v/>
      </c>
      <c r="N290" s="191" t="str">
        <f t="shared" si="33"/>
        <v/>
      </c>
      <c r="O290" s="191" t="str">
        <f t="shared" si="34"/>
        <v/>
      </c>
    </row>
    <row r="291" spans="1:15" x14ac:dyDescent="0.25">
      <c r="A291" s="19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1" t="s">
        <v>869</v>
      </c>
      <c r="G291" s="191">
        <v>14268</v>
      </c>
      <c r="H291" t="str">
        <f>_xlfn.IFNA(INDEX(DimosNaiOxi,MATCH(ΤΚ!E291,DimosNai,0)),"")</f>
        <v>ΝΑΙ</v>
      </c>
      <c r="I291" t="str">
        <f>LOOKUP(B291,ΠΕΡΙΦΕΡΕΙΑ!$A$2:$A$14,ΠΕΡΙΦΕΡΕΙΑ!$B$2:$B$14)</f>
        <v>Μερική</v>
      </c>
      <c r="J291">
        <f t="shared" si="32"/>
        <v>290</v>
      </c>
      <c r="K291" s="193" t="e">
        <f t="shared" si="29"/>
        <v>#NUM!</v>
      </c>
      <c r="L291" t="str">
        <f t="shared" si="30"/>
        <v/>
      </c>
      <c r="M291" t="str">
        <f t="shared" si="31"/>
        <v/>
      </c>
      <c r="N291" s="191" t="str">
        <f t="shared" si="33"/>
        <v/>
      </c>
      <c r="O291" s="191" t="str">
        <f t="shared" si="34"/>
        <v/>
      </c>
    </row>
    <row r="292" spans="1:15" x14ac:dyDescent="0.25">
      <c r="A292" s="19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1" t="s">
        <v>870</v>
      </c>
      <c r="G292" s="191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3" t="e">
        <f t="shared" si="29"/>
        <v>#NUM!</v>
      </c>
      <c r="L292" t="str">
        <f t="shared" si="30"/>
        <v/>
      </c>
      <c r="M292" t="str">
        <f t="shared" si="31"/>
        <v/>
      </c>
      <c r="N292" s="191" t="str">
        <f t="shared" si="33"/>
        <v/>
      </c>
      <c r="O292" s="191" t="str">
        <f t="shared" si="34"/>
        <v/>
      </c>
    </row>
    <row r="293" spans="1:15" x14ac:dyDescent="0.25">
      <c r="A293" s="19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1" t="s">
        <v>871</v>
      </c>
      <c r="G293" s="191">
        <v>14322</v>
      </c>
      <c r="H293" t="str">
        <f>_xlfn.IFNA(INDEX(DimosNaiOxi,MATCH(ΤΚ!E293,DimosNai,0)),"")</f>
        <v>ΝΑΙ</v>
      </c>
      <c r="I293" t="str">
        <f>LOOKUP(B293,ΠΕΡΙΦΕΡΕΙΑ!$A$2:$A$14,ΠΕΡΙΦΕΡΕΙΑ!$B$2:$B$14)</f>
        <v>Μερική</v>
      </c>
      <c r="J293">
        <f t="shared" si="32"/>
        <v>292</v>
      </c>
      <c r="K293" s="193" t="e">
        <f t="shared" si="29"/>
        <v>#NUM!</v>
      </c>
      <c r="L293" t="str">
        <f t="shared" si="30"/>
        <v/>
      </c>
      <c r="M293" t="str">
        <f t="shared" si="31"/>
        <v/>
      </c>
      <c r="N293" s="191" t="str">
        <f t="shared" si="33"/>
        <v/>
      </c>
      <c r="O293" s="191" t="str">
        <f t="shared" si="34"/>
        <v/>
      </c>
    </row>
    <row r="294" spans="1:15" x14ac:dyDescent="0.25">
      <c r="A294" s="19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1" t="s">
        <v>872</v>
      </c>
      <c r="G294" s="191">
        <v>14340</v>
      </c>
      <c r="H294" t="str">
        <f>_xlfn.IFNA(INDEX(DimosNaiOxi,MATCH(ΤΚ!E294,DimosNai,0)),"")</f>
        <v>ΝΑΙ</v>
      </c>
      <c r="I294" t="str">
        <f>LOOKUP(B294,ΠΕΡΙΦΕΡΕΙΑ!$A$2:$A$14,ΠΕΡΙΦΕΡΕΙΑ!$B$2:$B$14)</f>
        <v>Μερική</v>
      </c>
      <c r="J294">
        <f t="shared" si="32"/>
        <v>293</v>
      </c>
      <c r="K294" s="193" t="e">
        <f t="shared" si="29"/>
        <v>#NUM!</v>
      </c>
      <c r="L294" t="str">
        <f t="shared" si="30"/>
        <v/>
      </c>
      <c r="M294" t="str">
        <f t="shared" si="31"/>
        <v/>
      </c>
      <c r="N294" s="191" t="str">
        <f t="shared" si="33"/>
        <v/>
      </c>
      <c r="O294" s="191" t="str">
        <f t="shared" si="34"/>
        <v/>
      </c>
    </row>
    <row r="295" spans="1:15" x14ac:dyDescent="0.25">
      <c r="A295" s="19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1" t="s">
        <v>873</v>
      </c>
      <c r="G295" s="191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193" t="e">
        <f t="shared" si="29"/>
        <v>#NUM!</v>
      </c>
      <c r="L295" t="str">
        <f t="shared" si="30"/>
        <v/>
      </c>
      <c r="M295" t="str">
        <f t="shared" si="31"/>
        <v/>
      </c>
      <c r="N295" s="191" t="str">
        <f t="shared" si="33"/>
        <v/>
      </c>
      <c r="O295" s="191" t="str">
        <f t="shared" si="34"/>
        <v/>
      </c>
    </row>
    <row r="296" spans="1:15" x14ac:dyDescent="0.25">
      <c r="A296" s="19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1" t="s">
        <v>874</v>
      </c>
      <c r="G296" s="191">
        <v>14350</v>
      </c>
      <c r="H296" t="str">
        <f>_xlfn.IFNA(INDEX(DimosNaiOxi,MATCH(ΤΚ!E296,DimosNai,0)),"")</f>
        <v>ΝΑΙ</v>
      </c>
      <c r="I296" t="str">
        <f>LOOKUP(B296,ΠΕΡΙΦΕΡΕΙΑ!$A$2:$A$14,ΠΕΡΙΦΕΡΕΙΑ!$B$2:$B$14)</f>
        <v>Μερική</v>
      </c>
      <c r="J296">
        <f t="shared" si="32"/>
        <v>295</v>
      </c>
      <c r="K296" s="193" t="e">
        <f t="shared" si="29"/>
        <v>#NUM!</v>
      </c>
      <c r="L296" t="str">
        <f t="shared" si="30"/>
        <v/>
      </c>
      <c r="M296" t="str">
        <f t="shared" si="31"/>
        <v/>
      </c>
      <c r="N296" s="191" t="str">
        <f t="shared" si="33"/>
        <v/>
      </c>
      <c r="O296" s="191" t="str">
        <f t="shared" si="34"/>
        <v/>
      </c>
    </row>
    <row r="297" spans="1:15" x14ac:dyDescent="0.25">
      <c r="A297" s="19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1" t="s">
        <v>875</v>
      </c>
      <c r="G297" s="191">
        <v>14426</v>
      </c>
      <c r="H297" t="str">
        <f>_xlfn.IFNA(INDEX(DimosNaiOxi,MATCH(ΤΚ!E297,DimosNai,0)),"")</f>
        <v>ΝΑΙ</v>
      </c>
      <c r="I297" t="str">
        <f>LOOKUP(B297,ΠΕΡΙΦΕΡΕΙΑ!$A$2:$A$14,ΠΕΡΙΦΕΡΕΙΑ!$B$2:$B$14)</f>
        <v>Μερική</v>
      </c>
      <c r="J297">
        <f t="shared" si="32"/>
        <v>296</v>
      </c>
      <c r="K297" s="193" t="e">
        <f t="shared" si="29"/>
        <v>#NUM!</v>
      </c>
      <c r="L297" t="str">
        <f t="shared" si="30"/>
        <v/>
      </c>
      <c r="M297" t="str">
        <f t="shared" si="31"/>
        <v/>
      </c>
      <c r="N297" s="191" t="str">
        <f t="shared" si="33"/>
        <v/>
      </c>
      <c r="O297" s="191" t="str">
        <f t="shared" si="34"/>
        <v/>
      </c>
    </row>
    <row r="298" spans="1:15" x14ac:dyDescent="0.25">
      <c r="A298" s="19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1" t="s">
        <v>876</v>
      </c>
      <c r="G298" s="191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193" t="e">
        <f t="shared" si="29"/>
        <v>#NUM!</v>
      </c>
      <c r="L298" t="str">
        <f t="shared" si="30"/>
        <v/>
      </c>
      <c r="M298" t="str">
        <f t="shared" si="31"/>
        <v/>
      </c>
      <c r="N298" s="191" t="str">
        <f t="shared" si="33"/>
        <v/>
      </c>
      <c r="O298" s="191" t="str">
        <f t="shared" si="34"/>
        <v/>
      </c>
    </row>
    <row r="299" spans="1:15" x14ac:dyDescent="0.25">
      <c r="A299" s="19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1" t="s">
        <v>877</v>
      </c>
      <c r="G299" s="191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3" t="e">
        <f t="shared" si="29"/>
        <v>#NUM!</v>
      </c>
      <c r="L299" t="str">
        <f t="shared" si="30"/>
        <v/>
      </c>
      <c r="M299" t="str">
        <f t="shared" si="31"/>
        <v/>
      </c>
      <c r="N299" s="191" t="str">
        <f t="shared" si="33"/>
        <v/>
      </c>
      <c r="O299" s="191" t="str">
        <f t="shared" si="34"/>
        <v/>
      </c>
    </row>
    <row r="300" spans="1:15" x14ac:dyDescent="0.25">
      <c r="A300" s="19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1" t="s">
        <v>878</v>
      </c>
      <c r="G300" s="191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3" t="e">
        <f t="shared" si="29"/>
        <v>#NUM!</v>
      </c>
      <c r="L300" t="str">
        <f t="shared" si="30"/>
        <v/>
      </c>
      <c r="M300" t="str">
        <f t="shared" si="31"/>
        <v/>
      </c>
      <c r="N300" s="191" t="str">
        <f t="shared" si="33"/>
        <v/>
      </c>
      <c r="O300" s="191" t="str">
        <f t="shared" si="34"/>
        <v/>
      </c>
    </row>
    <row r="301" spans="1:15" x14ac:dyDescent="0.25">
      <c r="A301" s="19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1" t="s">
        <v>879</v>
      </c>
      <c r="G301" s="191">
        <v>14504</v>
      </c>
      <c r="H301" t="str">
        <f>_xlfn.IFNA(INDEX(DimosNaiOxi,MATCH(ΤΚ!E301,DimosNai,0)),"")</f>
        <v>ΝΑΙ</v>
      </c>
      <c r="I301" t="str">
        <f>LOOKUP(B301,ΠΕΡΙΦΕΡΕΙΑ!$A$2:$A$14,ΠΕΡΙΦΕΡΕΙΑ!$B$2:$B$14)</f>
        <v>Μερική</v>
      </c>
      <c r="J301">
        <f t="shared" si="32"/>
        <v>300</v>
      </c>
      <c r="K301" s="193" t="e">
        <f t="shared" si="29"/>
        <v>#NUM!</v>
      </c>
      <c r="L301" t="str">
        <f t="shared" si="30"/>
        <v/>
      </c>
      <c r="M301" t="str">
        <f t="shared" si="31"/>
        <v/>
      </c>
      <c r="N301" s="191" t="str">
        <f t="shared" si="33"/>
        <v/>
      </c>
      <c r="O301" s="191" t="str">
        <f t="shared" si="34"/>
        <v/>
      </c>
    </row>
    <row r="302" spans="1:15" x14ac:dyDescent="0.25">
      <c r="A302" s="19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1" t="s">
        <v>880</v>
      </c>
      <c r="G302" s="191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3" t="e">
        <f t="shared" si="29"/>
        <v>#NUM!</v>
      </c>
      <c r="L302" t="str">
        <f t="shared" si="30"/>
        <v/>
      </c>
      <c r="M302" t="str">
        <f t="shared" si="31"/>
        <v/>
      </c>
      <c r="N302" s="191" t="str">
        <f t="shared" si="33"/>
        <v/>
      </c>
      <c r="O302" s="191" t="str">
        <f t="shared" si="34"/>
        <v/>
      </c>
    </row>
    <row r="303" spans="1:15" x14ac:dyDescent="0.25">
      <c r="A303" s="19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1" t="s">
        <v>881</v>
      </c>
      <c r="G303" s="19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3" t="e">
        <f t="shared" si="29"/>
        <v>#NUM!</v>
      </c>
      <c r="L303" t="str">
        <f t="shared" si="30"/>
        <v/>
      </c>
      <c r="M303" t="str">
        <f t="shared" si="31"/>
        <v/>
      </c>
      <c r="N303" s="191" t="str">
        <f t="shared" si="33"/>
        <v/>
      </c>
      <c r="O303" s="191" t="str">
        <f t="shared" si="34"/>
        <v/>
      </c>
    </row>
    <row r="304" spans="1:15" x14ac:dyDescent="0.25">
      <c r="A304" s="19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1" t="s">
        <v>882</v>
      </c>
      <c r="G304" s="191">
        <v>13972</v>
      </c>
      <c r="H304" t="str">
        <f>_xlfn.IFNA(INDEX(DimosNaiOxi,MATCH(ΤΚ!E304,DimosNai,0)),"")</f>
        <v>ΝΑΙ</v>
      </c>
      <c r="I304" t="str">
        <f>LOOKUP(B304,ΠΕΡΙΦΕΡΕΙΑ!$A$2:$A$14,ΠΕΡΙΦΕΡΕΙΑ!$B$2:$B$14)</f>
        <v>Μερική</v>
      </c>
      <c r="J304">
        <f t="shared" si="32"/>
        <v>303</v>
      </c>
      <c r="K304" s="193" t="e">
        <f t="shared" si="29"/>
        <v>#NUM!</v>
      </c>
      <c r="L304" t="str">
        <f t="shared" si="30"/>
        <v/>
      </c>
      <c r="M304" t="str">
        <f t="shared" si="31"/>
        <v/>
      </c>
      <c r="N304" s="191" t="str">
        <f t="shared" si="33"/>
        <v/>
      </c>
      <c r="O304" s="191" t="str">
        <f t="shared" si="34"/>
        <v/>
      </c>
    </row>
    <row r="305" spans="1:15" x14ac:dyDescent="0.25">
      <c r="A305" s="19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1" t="s">
        <v>883</v>
      </c>
      <c r="G305" s="191">
        <v>14052</v>
      </c>
      <c r="H305" t="str">
        <f>_xlfn.IFNA(INDEX(DimosNaiOxi,MATCH(ΤΚ!E305,DimosNai,0)),"")</f>
        <v>ΝΑΙ</v>
      </c>
      <c r="I305" t="str">
        <f>LOOKUP(B305,ΠΕΡΙΦΕΡΕΙΑ!$A$2:$A$14,ΠΕΡΙΦΕΡΕΙΑ!$B$2:$B$14)</f>
        <v>Μερική</v>
      </c>
      <c r="J305">
        <f t="shared" si="32"/>
        <v>304</v>
      </c>
      <c r="K305" s="193" t="e">
        <f t="shared" si="29"/>
        <v>#NUM!</v>
      </c>
      <c r="L305" t="str">
        <f t="shared" si="30"/>
        <v/>
      </c>
      <c r="M305" t="str">
        <f t="shared" si="31"/>
        <v/>
      </c>
      <c r="N305" s="191" t="str">
        <f t="shared" si="33"/>
        <v/>
      </c>
      <c r="O305" s="191" t="str">
        <f t="shared" si="34"/>
        <v/>
      </c>
    </row>
    <row r="306" spans="1:15" x14ac:dyDescent="0.25">
      <c r="A306" s="19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1" t="s">
        <v>884</v>
      </c>
      <c r="G306" s="191">
        <v>14064</v>
      </c>
      <c r="H306" t="str">
        <f>_xlfn.IFNA(INDEX(DimosNaiOxi,MATCH(ΤΚ!E306,DimosNai,0)),"")</f>
        <v>ΝΑΙ</v>
      </c>
      <c r="I306" t="str">
        <f>LOOKUP(B306,ΠΕΡΙΦΕΡΕΙΑ!$A$2:$A$14,ΠΕΡΙΦΕΡΕΙΑ!$B$2:$B$14)</f>
        <v>Μερική</v>
      </c>
      <c r="J306">
        <f t="shared" si="32"/>
        <v>305</v>
      </c>
      <c r="K306" s="193" t="e">
        <f t="shared" si="29"/>
        <v>#NUM!</v>
      </c>
      <c r="L306" t="str">
        <f t="shared" si="30"/>
        <v/>
      </c>
      <c r="M306" t="str">
        <f t="shared" si="31"/>
        <v/>
      </c>
      <c r="N306" s="191" t="str">
        <f t="shared" si="33"/>
        <v/>
      </c>
      <c r="O306" s="191" t="str">
        <f t="shared" si="34"/>
        <v/>
      </c>
    </row>
    <row r="307" spans="1:15" x14ac:dyDescent="0.25">
      <c r="A307" s="19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1" t="s">
        <v>885</v>
      </c>
      <c r="G307" s="191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3" t="e">
        <f t="shared" si="29"/>
        <v>#NUM!</v>
      </c>
      <c r="L307" t="str">
        <f t="shared" si="30"/>
        <v/>
      </c>
      <c r="M307" t="str">
        <f t="shared" si="31"/>
        <v/>
      </c>
      <c r="N307" s="191" t="str">
        <f t="shared" si="33"/>
        <v/>
      </c>
      <c r="O307" s="191" t="str">
        <f t="shared" si="34"/>
        <v/>
      </c>
    </row>
    <row r="308" spans="1:15" x14ac:dyDescent="0.25">
      <c r="A308" s="19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1" t="s">
        <v>886</v>
      </c>
      <c r="G308" s="191">
        <v>14066</v>
      </c>
      <c r="H308" t="str">
        <f>_xlfn.IFNA(INDEX(DimosNaiOxi,MATCH(ΤΚ!E308,DimosNai,0)),"")</f>
        <v>ΝΑΙ</v>
      </c>
      <c r="I308" t="str">
        <f>LOOKUP(B308,ΠΕΡΙΦΕΡΕΙΑ!$A$2:$A$14,ΠΕΡΙΦΕΡΕΙΑ!$B$2:$B$14)</f>
        <v>Μερική</v>
      </c>
      <c r="J308">
        <f t="shared" si="32"/>
        <v>307</v>
      </c>
      <c r="K308" s="193" t="e">
        <f t="shared" si="29"/>
        <v>#NUM!</v>
      </c>
      <c r="L308" t="str">
        <f t="shared" si="30"/>
        <v/>
      </c>
      <c r="M308" t="str">
        <f t="shared" si="31"/>
        <v/>
      </c>
      <c r="N308" s="191" t="str">
        <f t="shared" si="33"/>
        <v/>
      </c>
      <c r="O308" s="191" t="str">
        <f t="shared" si="34"/>
        <v/>
      </c>
    </row>
    <row r="309" spans="1:15" x14ac:dyDescent="0.25">
      <c r="A309" s="19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1" t="s">
        <v>887</v>
      </c>
      <c r="G309" s="191">
        <v>14078</v>
      </c>
      <c r="H309" t="str">
        <f>_xlfn.IFNA(INDEX(DimosNaiOxi,MATCH(ΤΚ!E309,DimosNai,0)),"")</f>
        <v>ΝΑΙ</v>
      </c>
      <c r="I309" t="str">
        <f>LOOKUP(B309,ΠΕΡΙΦΕΡΕΙΑ!$A$2:$A$14,ΠΕΡΙΦΕΡΕΙΑ!$B$2:$B$14)</f>
        <v>Μερική</v>
      </c>
      <c r="J309">
        <f t="shared" si="32"/>
        <v>308</v>
      </c>
      <c r="K309" s="193" t="e">
        <f t="shared" si="29"/>
        <v>#NUM!</v>
      </c>
      <c r="L309" t="str">
        <f t="shared" si="30"/>
        <v/>
      </c>
      <c r="M309" t="str">
        <f t="shared" si="31"/>
        <v/>
      </c>
      <c r="N309" s="191" t="str">
        <f t="shared" si="33"/>
        <v/>
      </c>
      <c r="O309" s="191" t="str">
        <f t="shared" si="34"/>
        <v/>
      </c>
    </row>
    <row r="310" spans="1:15" x14ac:dyDescent="0.25">
      <c r="A310" s="19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1" t="s">
        <v>888</v>
      </c>
      <c r="G310" s="191">
        <v>14094</v>
      </c>
      <c r="H310" t="str">
        <f>_xlfn.IFNA(INDEX(DimosNaiOxi,MATCH(ΤΚ!E310,DimosNai,0)),"")</f>
        <v>ΝΑΙ</v>
      </c>
      <c r="I310" t="str">
        <f>LOOKUP(B310,ΠΕΡΙΦΕΡΕΙΑ!$A$2:$A$14,ΠΕΡΙΦΕΡΕΙΑ!$B$2:$B$14)</f>
        <v>Μερική</v>
      </c>
      <c r="J310">
        <f t="shared" si="32"/>
        <v>309</v>
      </c>
      <c r="K310" s="193" t="e">
        <f t="shared" si="29"/>
        <v>#NUM!</v>
      </c>
      <c r="L310" t="str">
        <f t="shared" si="30"/>
        <v/>
      </c>
      <c r="M310" t="str">
        <f t="shared" si="31"/>
        <v/>
      </c>
      <c r="N310" s="191" t="str">
        <f t="shared" si="33"/>
        <v/>
      </c>
      <c r="O310" s="191" t="str">
        <f t="shared" si="34"/>
        <v/>
      </c>
    </row>
    <row r="311" spans="1:15" x14ac:dyDescent="0.25">
      <c r="A311" s="19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1" t="s">
        <v>889</v>
      </c>
      <c r="G311" s="191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3" t="e">
        <f t="shared" si="29"/>
        <v>#NUM!</v>
      </c>
      <c r="L311" t="str">
        <f t="shared" si="30"/>
        <v/>
      </c>
      <c r="M311" t="str">
        <f t="shared" si="31"/>
        <v/>
      </c>
      <c r="N311" s="191" t="str">
        <f t="shared" si="33"/>
        <v/>
      </c>
      <c r="O311" s="191" t="str">
        <f t="shared" si="34"/>
        <v/>
      </c>
    </row>
    <row r="312" spans="1:15" x14ac:dyDescent="0.25">
      <c r="A312" s="19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1" t="s">
        <v>890</v>
      </c>
      <c r="G312" s="191">
        <v>14152</v>
      </c>
      <c r="H312" t="str">
        <f>_xlfn.IFNA(INDEX(DimosNaiOxi,MATCH(ΤΚ!E312,DimosNai,0)),"")</f>
        <v>ΝΑΙ</v>
      </c>
      <c r="I312" t="str">
        <f>LOOKUP(B312,ΠΕΡΙΦΕΡΕΙΑ!$A$2:$A$14,ΠΕΡΙΦΕΡΕΙΑ!$B$2:$B$14)</f>
        <v>Μερική</v>
      </c>
      <c r="J312">
        <f t="shared" si="32"/>
        <v>311</v>
      </c>
      <c r="K312" s="193" t="e">
        <f t="shared" si="29"/>
        <v>#NUM!</v>
      </c>
      <c r="L312" t="str">
        <f t="shared" si="30"/>
        <v/>
      </c>
      <c r="M312" t="str">
        <f t="shared" si="31"/>
        <v/>
      </c>
      <c r="N312" s="191" t="str">
        <f t="shared" si="33"/>
        <v/>
      </c>
      <c r="O312" s="191" t="str">
        <f t="shared" si="34"/>
        <v/>
      </c>
    </row>
    <row r="313" spans="1:15" x14ac:dyDescent="0.25">
      <c r="A313" s="19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1" t="s">
        <v>891</v>
      </c>
      <c r="G313" s="191">
        <v>14194</v>
      </c>
      <c r="H313" t="str">
        <f>_xlfn.IFNA(INDEX(DimosNaiOxi,MATCH(ΤΚ!E313,DimosNai,0)),"")</f>
        <v>ΝΑΙ</v>
      </c>
      <c r="I313" t="str">
        <f>LOOKUP(B313,ΠΕΡΙΦΕΡΕΙΑ!$A$2:$A$14,ΠΕΡΙΦΕΡΕΙΑ!$B$2:$B$14)</f>
        <v>Μερική</v>
      </c>
      <c r="J313">
        <f t="shared" si="32"/>
        <v>312</v>
      </c>
      <c r="K313" s="193" t="e">
        <f t="shared" si="29"/>
        <v>#NUM!</v>
      </c>
      <c r="L313" t="str">
        <f t="shared" si="30"/>
        <v/>
      </c>
      <c r="M313" t="str">
        <f t="shared" si="31"/>
        <v/>
      </c>
      <c r="N313" s="191" t="str">
        <f t="shared" si="33"/>
        <v/>
      </c>
      <c r="O313" s="191" t="str">
        <f t="shared" si="34"/>
        <v/>
      </c>
    </row>
    <row r="314" spans="1:15" x14ac:dyDescent="0.25">
      <c r="A314" s="19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1" t="s">
        <v>892</v>
      </c>
      <c r="G314" s="191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3" t="e">
        <f t="shared" si="29"/>
        <v>#NUM!</v>
      </c>
      <c r="L314" t="str">
        <f t="shared" si="30"/>
        <v/>
      </c>
      <c r="M314" t="str">
        <f t="shared" si="31"/>
        <v/>
      </c>
      <c r="N314" s="191" t="str">
        <f t="shared" si="33"/>
        <v/>
      </c>
      <c r="O314" s="191" t="str">
        <f t="shared" si="34"/>
        <v/>
      </c>
    </row>
    <row r="315" spans="1:15" x14ac:dyDescent="0.25">
      <c r="A315" s="19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1" t="s">
        <v>893</v>
      </c>
      <c r="G315" s="191">
        <v>14234</v>
      </c>
      <c r="H315" t="str">
        <f>_xlfn.IFNA(INDEX(DimosNaiOxi,MATCH(ΤΚ!E315,DimosNai,0)),"")</f>
        <v>ΝΑΙ</v>
      </c>
      <c r="I315" t="str">
        <f>LOOKUP(B315,ΠΕΡΙΦΕΡΕΙΑ!$A$2:$A$14,ΠΕΡΙΦΕΡΕΙΑ!$B$2:$B$14)</f>
        <v>Μερική</v>
      </c>
      <c r="J315">
        <f t="shared" si="32"/>
        <v>314</v>
      </c>
      <c r="K315" s="193" t="e">
        <f t="shared" si="29"/>
        <v>#NUM!</v>
      </c>
      <c r="L315" t="str">
        <f t="shared" si="30"/>
        <v/>
      </c>
      <c r="M315" t="str">
        <f t="shared" si="31"/>
        <v/>
      </c>
      <c r="N315" s="191" t="str">
        <f t="shared" si="33"/>
        <v/>
      </c>
      <c r="O315" s="191" t="str">
        <f t="shared" si="34"/>
        <v/>
      </c>
    </row>
    <row r="316" spans="1:15" x14ac:dyDescent="0.25">
      <c r="A316" s="19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1" t="s">
        <v>894</v>
      </c>
      <c r="G316" s="191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3" t="e">
        <f t="shared" si="29"/>
        <v>#NUM!</v>
      </c>
      <c r="L316" t="str">
        <f t="shared" si="30"/>
        <v/>
      </c>
      <c r="M316" t="str">
        <f t="shared" si="31"/>
        <v/>
      </c>
      <c r="N316" s="191" t="str">
        <f t="shared" si="33"/>
        <v/>
      </c>
      <c r="O316" s="191" t="str">
        <f t="shared" si="34"/>
        <v/>
      </c>
    </row>
    <row r="317" spans="1:15" x14ac:dyDescent="0.25">
      <c r="A317" s="19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1" t="s">
        <v>895</v>
      </c>
      <c r="G317" s="191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3" t="e">
        <f t="shared" si="29"/>
        <v>#NUM!</v>
      </c>
      <c r="L317" t="str">
        <f t="shared" si="30"/>
        <v/>
      </c>
      <c r="M317" t="str">
        <f t="shared" si="31"/>
        <v/>
      </c>
      <c r="N317" s="191" t="str">
        <f t="shared" si="33"/>
        <v/>
      </c>
      <c r="O317" s="191" t="str">
        <f t="shared" si="34"/>
        <v/>
      </c>
    </row>
    <row r="318" spans="1:15" x14ac:dyDescent="0.25">
      <c r="A318" s="19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1" t="s">
        <v>896</v>
      </c>
      <c r="G318" s="191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3" t="e">
        <f t="shared" si="29"/>
        <v>#NUM!</v>
      </c>
      <c r="L318" t="str">
        <f t="shared" si="30"/>
        <v/>
      </c>
      <c r="M318" t="str">
        <f t="shared" si="31"/>
        <v/>
      </c>
      <c r="N318" s="191" t="str">
        <f t="shared" si="33"/>
        <v/>
      </c>
      <c r="O318" s="191" t="str">
        <f t="shared" si="34"/>
        <v/>
      </c>
    </row>
    <row r="319" spans="1:15" x14ac:dyDescent="0.25">
      <c r="A319" s="19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1" t="s">
        <v>897</v>
      </c>
      <c r="G319" s="191">
        <v>14262</v>
      </c>
      <c r="H319" t="str">
        <f>_xlfn.IFNA(INDEX(DimosNaiOxi,MATCH(ΤΚ!E319,DimosNai,0)),"")</f>
        <v>ΝΑΙ</v>
      </c>
      <c r="I319" t="str">
        <f>LOOKUP(B319,ΠΕΡΙΦΕΡΕΙΑ!$A$2:$A$14,ΠΕΡΙΦΕΡΕΙΑ!$B$2:$B$14)</f>
        <v>Μερική</v>
      </c>
      <c r="J319">
        <f t="shared" si="32"/>
        <v>318</v>
      </c>
      <c r="K319" s="193" t="e">
        <f t="shared" si="29"/>
        <v>#NUM!</v>
      </c>
      <c r="L319" t="str">
        <f t="shared" si="30"/>
        <v/>
      </c>
      <c r="M319" t="str">
        <f t="shared" si="31"/>
        <v/>
      </c>
      <c r="N319" s="191" t="str">
        <f t="shared" si="33"/>
        <v/>
      </c>
      <c r="O319" s="191" t="str">
        <f t="shared" si="34"/>
        <v/>
      </c>
    </row>
    <row r="320" spans="1:15" x14ac:dyDescent="0.25">
      <c r="A320" s="19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1" t="s">
        <v>898</v>
      </c>
      <c r="G320" s="191">
        <v>14276</v>
      </c>
      <c r="H320" t="str">
        <f>_xlfn.IFNA(INDEX(DimosNaiOxi,MATCH(ΤΚ!E320,DimosNai,0)),"")</f>
        <v>ΝΑΙ</v>
      </c>
      <c r="I320" t="str">
        <f>LOOKUP(B320,ΠΕΡΙΦΕΡΕΙΑ!$A$2:$A$14,ΠΕΡΙΦΕΡΕΙΑ!$B$2:$B$14)</f>
        <v>Μερική</v>
      </c>
      <c r="J320">
        <f t="shared" si="32"/>
        <v>319</v>
      </c>
      <c r="K320" s="193" t="e">
        <f t="shared" si="29"/>
        <v>#NUM!</v>
      </c>
      <c r="L320" t="str">
        <f t="shared" si="30"/>
        <v/>
      </c>
      <c r="M320" t="str">
        <f t="shared" si="31"/>
        <v/>
      </c>
      <c r="N320" s="191" t="str">
        <f t="shared" si="33"/>
        <v/>
      </c>
      <c r="O320" s="191" t="str">
        <f t="shared" si="34"/>
        <v/>
      </c>
    </row>
    <row r="321" spans="1:15" x14ac:dyDescent="0.25">
      <c r="A321" s="19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1" t="s">
        <v>899</v>
      </c>
      <c r="G321" s="191">
        <v>14308</v>
      </c>
      <c r="H321" t="str">
        <f>_xlfn.IFNA(INDEX(DimosNaiOxi,MATCH(ΤΚ!E321,DimosNai,0)),"")</f>
        <v>ΝΑΙ</v>
      </c>
      <c r="I321" t="str">
        <f>LOOKUP(B321,ΠΕΡΙΦΕΡΕΙΑ!$A$2:$A$14,ΠΕΡΙΦΕΡΕΙΑ!$B$2:$B$14)</f>
        <v>Μερική</v>
      </c>
      <c r="J321">
        <f t="shared" si="32"/>
        <v>320</v>
      </c>
      <c r="K321" s="193" t="e">
        <f t="shared" si="29"/>
        <v>#NUM!</v>
      </c>
      <c r="L321" t="str">
        <f t="shared" si="30"/>
        <v/>
      </c>
      <c r="M321" t="str">
        <f t="shared" si="31"/>
        <v/>
      </c>
      <c r="N321" s="191" t="str">
        <f t="shared" si="33"/>
        <v/>
      </c>
      <c r="O321" s="191" t="str">
        <f t="shared" si="34"/>
        <v/>
      </c>
    </row>
    <row r="322" spans="1:15" x14ac:dyDescent="0.25">
      <c r="A322" s="19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1" t="s">
        <v>900</v>
      </c>
      <c r="G322" s="191">
        <v>14356</v>
      </c>
      <c r="H322" t="str">
        <f>_xlfn.IFNA(INDEX(DimosNaiOxi,MATCH(ΤΚ!E322,DimosNai,0)),"")</f>
        <v>ΝΑΙ</v>
      </c>
      <c r="I322" t="str">
        <f>LOOKUP(B322,ΠΕΡΙΦΕΡΕΙΑ!$A$2:$A$14,ΠΕΡΙΦΕΡΕΙΑ!$B$2:$B$14)</f>
        <v>Μερική</v>
      </c>
      <c r="J322">
        <f t="shared" si="32"/>
        <v>321</v>
      </c>
      <c r="K322" s="19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1" t="str">
        <f t="shared" si="33"/>
        <v/>
      </c>
      <c r="O322" s="191" t="str">
        <f t="shared" si="34"/>
        <v/>
      </c>
    </row>
    <row r="323" spans="1:15" x14ac:dyDescent="0.25">
      <c r="A323" s="19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1" t="s">
        <v>901</v>
      </c>
      <c r="G323" s="19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193" t="e">
        <f t="shared" si="36"/>
        <v>#NUM!</v>
      </c>
      <c r="L323" t="str">
        <f t="shared" si="37"/>
        <v/>
      </c>
      <c r="M323" t="str">
        <f t="shared" si="31"/>
        <v/>
      </c>
      <c r="N323" s="191" t="str">
        <f t="shared" ref="N323:N326" si="39">IF(ISNUMBER(K323),LOOKUP(K323,A:A,G:G),"")</f>
        <v/>
      </c>
      <c r="O323" s="191" t="str">
        <f t="shared" ref="O323:O326" si="40">IF(ISNUMBER(K323),LOOKUP(K323,A:A,F:F),"")</f>
        <v/>
      </c>
    </row>
    <row r="324" spans="1:15" x14ac:dyDescent="0.25">
      <c r="A324" s="19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1" t="s">
        <v>902</v>
      </c>
      <c r="G324" s="191">
        <v>14484</v>
      </c>
      <c r="H324" t="str">
        <f>_xlfn.IFNA(INDEX(DimosNaiOxi,MATCH(ΤΚ!E324,DimosNai,0)),"")</f>
        <v>ΝΑΙ</v>
      </c>
      <c r="I324" t="str">
        <f>LOOKUP(B324,ΠΕΡΙΦΕΡΕΙΑ!$A$2:$A$14,ΠΕΡΙΦΕΡΕΙΑ!$B$2:$B$14)</f>
        <v>Μερική</v>
      </c>
      <c r="J324">
        <f t="shared" si="38"/>
        <v>323</v>
      </c>
      <c r="K324" s="193" t="e">
        <f t="shared" si="36"/>
        <v>#NUM!</v>
      </c>
      <c r="L324" t="str">
        <f t="shared" si="37"/>
        <v/>
      </c>
      <c r="M324" t="str">
        <f t="shared" si="31"/>
        <v/>
      </c>
      <c r="N324" s="191" t="str">
        <f t="shared" si="39"/>
        <v/>
      </c>
      <c r="O324" s="191" t="str">
        <f t="shared" si="40"/>
        <v/>
      </c>
    </row>
    <row r="325" spans="1:15" x14ac:dyDescent="0.25">
      <c r="A325" s="19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1" t="s">
        <v>903</v>
      </c>
      <c r="G325" s="191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193" t="e">
        <f t="shared" si="36"/>
        <v>#NUM!</v>
      </c>
      <c r="L325" t="str">
        <f t="shared" si="37"/>
        <v/>
      </c>
      <c r="M325" t="str">
        <f t="shared" si="31"/>
        <v/>
      </c>
      <c r="N325" s="191" t="str">
        <f t="shared" si="39"/>
        <v/>
      </c>
      <c r="O325" s="191" t="str">
        <f t="shared" si="40"/>
        <v/>
      </c>
    </row>
    <row r="326" spans="1:15" x14ac:dyDescent="0.25">
      <c r="A326" s="19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1" t="s">
        <v>904</v>
      </c>
      <c r="G326" s="191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193" t="e">
        <f t="shared" si="36"/>
        <v>#NUM!</v>
      </c>
      <c r="L326" t="str">
        <f t="shared" si="37"/>
        <v/>
      </c>
      <c r="M326" t="str">
        <f t="shared" si="31"/>
        <v/>
      </c>
      <c r="N326" s="191" t="str">
        <f t="shared" si="39"/>
        <v/>
      </c>
      <c r="O326" s="191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5" hidden="1" customWidth="1"/>
    <col min="5" max="5" width="24.140625" style="195" hidden="1" customWidth="1"/>
    <col min="6" max="6" width="21.140625" style="195" hidden="1" customWidth="1"/>
    <col min="7" max="7" width="18.7109375" style="195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6" t="s">
        <v>929</v>
      </c>
      <c r="B1" s="186" t="s">
        <v>930</v>
      </c>
      <c r="C1" s="195" t="s">
        <v>907</v>
      </c>
      <c r="D1" s="196" t="s">
        <v>909</v>
      </c>
      <c r="E1" s="196" t="s">
        <v>910</v>
      </c>
      <c r="F1" s="195" t="s">
        <v>911</v>
      </c>
      <c r="G1" s="195" t="s">
        <v>912</v>
      </c>
      <c r="H1" s="197" t="s">
        <v>908</v>
      </c>
      <c r="I1" s="198" t="s">
        <v>913</v>
      </c>
      <c r="J1" s="198" t="s">
        <v>914</v>
      </c>
      <c r="K1" s="198" t="s">
        <v>915</v>
      </c>
      <c r="L1" s="198" t="s">
        <v>916</v>
      </c>
    </row>
    <row r="2" spans="1:12" ht="15.75" thickTop="1" x14ac:dyDescent="0.25">
      <c r="A2" s="187"/>
      <c r="B2" s="187"/>
      <c r="C2" s="195" t="str">
        <f>IF(A2="","",A2&amp;",")</f>
        <v/>
      </c>
      <c r="D2" s="195" t="str">
        <f t="shared" ref="D2:D15" si="0">_xlfn.IFNA(INDEX(OrchardIDnai,MATCH(A2,DimosNameNai,0)),"")</f>
        <v/>
      </c>
      <c r="E2" s="195" t="str">
        <f t="shared" ref="E2:E15" si="1">_xlfn.IFNA(INDEX(OrchardNameNai,MATCH(A2,DimosNameNai,0)),"")</f>
        <v/>
      </c>
      <c r="F2" s="195" t="str">
        <f>IF(D2="","",D2&amp;",")</f>
        <v/>
      </c>
      <c r="G2" s="195" t="str">
        <f>IF(E2="","",E2&amp;",")</f>
        <v/>
      </c>
      <c r="H2" s="197" t="str">
        <f>IF(B2="","",B2&amp;",")</f>
        <v/>
      </c>
      <c r="I2" s="197" t="str">
        <f t="shared" ref="I2:I15" si="2">_xlfn.IFNA(INDEX(OrchardIDnai,MATCH(B2,DimosNameNai,0)),"")</f>
        <v/>
      </c>
      <c r="J2" s="197" t="str">
        <f t="shared" ref="J2:J15" si="3">_xlfn.IFNA(INDEX(OrchardNameNai,MATCH(B2,DimosNameNai,0)),"")</f>
        <v/>
      </c>
      <c r="K2" s="197" t="str">
        <f>IF(I2="","",I2&amp;",")</f>
        <v/>
      </c>
      <c r="L2" s="197" t="str">
        <f>IF(J2="","",J2&amp;",")</f>
        <v/>
      </c>
    </row>
    <row r="3" spans="1:12" x14ac:dyDescent="0.25">
      <c r="A3" s="188"/>
      <c r="B3" s="188"/>
      <c r="C3" s="195" t="str">
        <f t="shared" ref="C3:C12" si="4">IF(A3="",C2,C2&amp;A3&amp;",")</f>
        <v/>
      </c>
      <c r="D3" s="195" t="str">
        <f t="shared" si="0"/>
        <v/>
      </c>
      <c r="E3" s="195" t="str">
        <f t="shared" si="1"/>
        <v/>
      </c>
      <c r="F3" s="195" t="str">
        <f t="shared" ref="F3:G12" si="5">IF(D3="",F2,F2&amp;D3&amp;",")</f>
        <v/>
      </c>
      <c r="G3" s="195" t="str">
        <f t="shared" si="5"/>
        <v/>
      </c>
      <c r="H3" s="197" t="str">
        <f t="shared" ref="H3:H12" si="6">IF(B3="",H2,H2&amp;B3&amp;",")</f>
        <v/>
      </c>
      <c r="I3" s="197" t="str">
        <f t="shared" si="2"/>
        <v/>
      </c>
      <c r="J3" s="197" t="str">
        <f t="shared" si="3"/>
        <v/>
      </c>
      <c r="K3" s="197" t="str">
        <f t="shared" ref="K3:K12" si="7">IF(I3="",K2,K2&amp;I3&amp;",")</f>
        <v/>
      </c>
      <c r="L3" s="197" t="str">
        <f t="shared" ref="L3:L12" si="8">IF(J3="",L2,L2&amp;J3&amp;",")</f>
        <v/>
      </c>
    </row>
    <row r="4" spans="1:12" x14ac:dyDescent="0.25">
      <c r="A4" s="188"/>
      <c r="B4" s="188"/>
      <c r="C4" s="195" t="str">
        <f t="shared" si="4"/>
        <v/>
      </c>
      <c r="D4" s="195" t="str">
        <f t="shared" si="0"/>
        <v/>
      </c>
      <c r="E4" s="195" t="str">
        <f t="shared" si="1"/>
        <v/>
      </c>
      <c r="F4" s="195" t="str">
        <f t="shared" si="5"/>
        <v/>
      </c>
      <c r="G4" s="195" t="str">
        <f t="shared" si="5"/>
        <v/>
      </c>
      <c r="H4" s="197" t="str">
        <f t="shared" si="6"/>
        <v/>
      </c>
      <c r="I4" s="197" t="str">
        <f t="shared" si="2"/>
        <v/>
      </c>
      <c r="J4" s="197" t="str">
        <f t="shared" si="3"/>
        <v/>
      </c>
      <c r="K4" s="197" t="str">
        <f t="shared" si="7"/>
        <v/>
      </c>
      <c r="L4" s="197" t="str">
        <f t="shared" si="8"/>
        <v/>
      </c>
    </row>
    <row r="5" spans="1:12" x14ac:dyDescent="0.25">
      <c r="A5" s="188"/>
      <c r="B5" s="188"/>
      <c r="C5" s="195" t="str">
        <f t="shared" si="4"/>
        <v/>
      </c>
      <c r="D5" s="195" t="str">
        <f t="shared" si="0"/>
        <v/>
      </c>
      <c r="E5" s="195" t="str">
        <f t="shared" si="1"/>
        <v/>
      </c>
      <c r="F5" s="195" t="str">
        <f t="shared" si="5"/>
        <v/>
      </c>
      <c r="G5" s="195" t="str">
        <f t="shared" si="5"/>
        <v/>
      </c>
      <c r="H5" s="197" t="str">
        <f t="shared" si="6"/>
        <v/>
      </c>
      <c r="I5" s="197" t="str">
        <f t="shared" si="2"/>
        <v/>
      </c>
      <c r="J5" s="197" t="str">
        <f t="shared" si="3"/>
        <v/>
      </c>
      <c r="K5" s="197" t="str">
        <f t="shared" si="7"/>
        <v/>
      </c>
      <c r="L5" s="197" t="str">
        <f t="shared" si="8"/>
        <v/>
      </c>
    </row>
    <row r="6" spans="1:12" x14ac:dyDescent="0.25">
      <c r="A6" s="188"/>
      <c r="B6" s="188"/>
      <c r="C6" s="195" t="str">
        <f t="shared" si="4"/>
        <v/>
      </c>
      <c r="D6" s="195" t="str">
        <f t="shared" si="0"/>
        <v/>
      </c>
      <c r="E6" s="195" t="str">
        <f t="shared" si="1"/>
        <v/>
      </c>
      <c r="F6" s="195" t="str">
        <f t="shared" si="5"/>
        <v/>
      </c>
      <c r="G6" s="195" t="str">
        <f t="shared" si="5"/>
        <v/>
      </c>
      <c r="H6" s="197" t="str">
        <f t="shared" si="6"/>
        <v/>
      </c>
      <c r="I6" s="197" t="str">
        <f t="shared" si="2"/>
        <v/>
      </c>
      <c r="J6" s="197" t="str">
        <f t="shared" si="3"/>
        <v/>
      </c>
      <c r="K6" s="197" t="str">
        <f t="shared" si="7"/>
        <v/>
      </c>
      <c r="L6" s="197" t="str">
        <f t="shared" si="8"/>
        <v/>
      </c>
    </row>
    <row r="7" spans="1:12" x14ac:dyDescent="0.25">
      <c r="A7" s="188"/>
      <c r="B7" s="188"/>
      <c r="C7" s="195" t="str">
        <f t="shared" si="4"/>
        <v/>
      </c>
      <c r="D7" s="195" t="str">
        <f t="shared" si="0"/>
        <v/>
      </c>
      <c r="E7" s="195" t="str">
        <f t="shared" si="1"/>
        <v/>
      </c>
      <c r="F7" s="195" t="str">
        <f t="shared" si="5"/>
        <v/>
      </c>
      <c r="G7" s="195" t="str">
        <f t="shared" si="5"/>
        <v/>
      </c>
      <c r="H7" s="197" t="str">
        <f t="shared" si="6"/>
        <v/>
      </c>
      <c r="I7" s="197" t="str">
        <f t="shared" si="2"/>
        <v/>
      </c>
      <c r="J7" s="197" t="str">
        <f t="shared" si="3"/>
        <v/>
      </c>
      <c r="K7" s="197" t="str">
        <f t="shared" si="7"/>
        <v/>
      </c>
      <c r="L7" s="197" t="str">
        <f t="shared" si="8"/>
        <v/>
      </c>
    </row>
    <row r="8" spans="1:12" x14ac:dyDescent="0.25">
      <c r="A8" s="188"/>
      <c r="B8" s="188"/>
      <c r="C8" s="195" t="str">
        <f t="shared" si="4"/>
        <v/>
      </c>
      <c r="D8" s="195" t="str">
        <f t="shared" si="0"/>
        <v/>
      </c>
      <c r="E8" s="195" t="str">
        <f t="shared" si="1"/>
        <v/>
      </c>
      <c r="F8" s="195" t="str">
        <f t="shared" si="5"/>
        <v/>
      </c>
      <c r="G8" s="195" t="str">
        <f t="shared" si="5"/>
        <v/>
      </c>
      <c r="H8" s="197" t="str">
        <f t="shared" si="6"/>
        <v/>
      </c>
      <c r="I8" s="197" t="str">
        <f t="shared" si="2"/>
        <v/>
      </c>
      <c r="J8" s="197" t="str">
        <f t="shared" si="3"/>
        <v/>
      </c>
      <c r="K8" s="197" t="str">
        <f t="shared" si="7"/>
        <v/>
      </c>
      <c r="L8" s="197" t="str">
        <f t="shared" si="8"/>
        <v/>
      </c>
    </row>
    <row r="9" spans="1:12" x14ac:dyDescent="0.25">
      <c r="A9" s="188"/>
      <c r="B9" s="188"/>
      <c r="C9" s="195" t="str">
        <f t="shared" si="4"/>
        <v/>
      </c>
      <c r="D9" s="195" t="str">
        <f t="shared" si="0"/>
        <v/>
      </c>
      <c r="E9" s="195" t="str">
        <f t="shared" si="1"/>
        <v/>
      </c>
      <c r="F9" s="195" t="str">
        <f t="shared" si="5"/>
        <v/>
      </c>
      <c r="G9" s="195" t="str">
        <f t="shared" si="5"/>
        <v/>
      </c>
      <c r="H9" s="197" t="str">
        <f t="shared" si="6"/>
        <v/>
      </c>
      <c r="I9" s="197" t="str">
        <f t="shared" si="2"/>
        <v/>
      </c>
      <c r="J9" s="197" t="str">
        <f t="shared" si="3"/>
        <v/>
      </c>
      <c r="K9" s="197" t="str">
        <f t="shared" si="7"/>
        <v/>
      </c>
      <c r="L9" s="197" t="str">
        <f t="shared" si="8"/>
        <v/>
      </c>
    </row>
    <row r="10" spans="1:12" x14ac:dyDescent="0.25">
      <c r="A10" s="188"/>
      <c r="B10" s="188"/>
      <c r="C10" s="195" t="str">
        <f t="shared" si="4"/>
        <v/>
      </c>
      <c r="D10" s="195" t="str">
        <f t="shared" si="0"/>
        <v/>
      </c>
      <c r="E10" s="195" t="str">
        <f t="shared" si="1"/>
        <v/>
      </c>
      <c r="F10" s="195" t="str">
        <f t="shared" si="5"/>
        <v/>
      </c>
      <c r="G10" s="195" t="str">
        <f t="shared" si="5"/>
        <v/>
      </c>
      <c r="H10" s="197" t="str">
        <f t="shared" si="6"/>
        <v/>
      </c>
      <c r="I10" s="197" t="str">
        <f t="shared" si="2"/>
        <v/>
      </c>
      <c r="J10" s="197" t="str">
        <f t="shared" si="3"/>
        <v/>
      </c>
      <c r="K10" s="197" t="str">
        <f t="shared" si="7"/>
        <v/>
      </c>
      <c r="L10" s="197" t="str">
        <f t="shared" si="8"/>
        <v/>
      </c>
    </row>
    <row r="11" spans="1:12" x14ac:dyDescent="0.25">
      <c r="A11" s="188"/>
      <c r="B11" s="188"/>
      <c r="C11" s="195" t="str">
        <f t="shared" si="4"/>
        <v/>
      </c>
      <c r="D11" s="195" t="str">
        <f t="shared" si="0"/>
        <v/>
      </c>
      <c r="E11" s="195" t="str">
        <f t="shared" si="1"/>
        <v/>
      </c>
      <c r="F11" s="195" t="str">
        <f t="shared" si="5"/>
        <v/>
      </c>
      <c r="G11" s="195" t="str">
        <f t="shared" si="5"/>
        <v/>
      </c>
      <c r="H11" s="197" t="str">
        <f t="shared" si="6"/>
        <v/>
      </c>
      <c r="I11" s="197" t="str">
        <f t="shared" si="2"/>
        <v/>
      </c>
      <c r="J11" s="197" t="str">
        <f t="shared" si="3"/>
        <v/>
      </c>
      <c r="K11" s="197" t="str">
        <f t="shared" si="7"/>
        <v/>
      </c>
      <c r="L11" s="197" t="str">
        <f t="shared" si="8"/>
        <v/>
      </c>
    </row>
    <row r="12" spans="1:12" x14ac:dyDescent="0.25">
      <c r="A12" s="188"/>
      <c r="B12" s="188"/>
      <c r="C12" s="195" t="str">
        <f t="shared" si="4"/>
        <v/>
      </c>
      <c r="D12" s="195" t="str">
        <f t="shared" si="0"/>
        <v/>
      </c>
      <c r="E12" s="195" t="str">
        <f t="shared" si="1"/>
        <v/>
      </c>
      <c r="F12" s="195" t="str">
        <f t="shared" si="5"/>
        <v/>
      </c>
      <c r="G12" s="195" t="str">
        <f t="shared" si="5"/>
        <v/>
      </c>
      <c r="H12" s="197" t="str">
        <f t="shared" si="6"/>
        <v/>
      </c>
      <c r="I12" s="197" t="str">
        <f t="shared" si="2"/>
        <v/>
      </c>
      <c r="J12" s="197" t="str">
        <f t="shared" si="3"/>
        <v/>
      </c>
      <c r="K12" s="197" t="str">
        <f t="shared" si="7"/>
        <v/>
      </c>
      <c r="L12" s="197" t="str">
        <f t="shared" si="8"/>
        <v/>
      </c>
    </row>
    <row r="13" spans="1:12" s="215" customFormat="1" x14ac:dyDescent="0.25">
      <c r="A13" s="188"/>
      <c r="B13" s="188"/>
      <c r="C13" s="195"/>
      <c r="D13" s="195"/>
      <c r="E13" s="195"/>
      <c r="F13" s="195"/>
      <c r="G13" s="195"/>
      <c r="H13" s="197"/>
      <c r="I13" s="197"/>
      <c r="J13" s="197"/>
      <c r="K13" s="197"/>
      <c r="L13" s="197"/>
    </row>
    <row r="14" spans="1:12" x14ac:dyDescent="0.25">
      <c r="A14" s="188"/>
      <c r="B14" s="188"/>
      <c r="C14" s="195" t="str">
        <f>IF(A14="",C12,C12&amp;A14&amp;",")</f>
        <v/>
      </c>
      <c r="D14" s="195" t="str">
        <f t="shared" si="0"/>
        <v/>
      </c>
      <c r="E14" s="195" t="str">
        <f t="shared" si="1"/>
        <v/>
      </c>
      <c r="F14" s="195" t="str">
        <f>IF(D14="",F12,F12&amp;D14&amp;",")</f>
        <v/>
      </c>
      <c r="G14" s="195" t="str">
        <f>IF(E14="",G12,G12&amp;E14&amp;",")</f>
        <v/>
      </c>
      <c r="H14" s="197" t="str">
        <f>IF(B14="",H12,H12&amp;B14&amp;",")</f>
        <v/>
      </c>
      <c r="I14" s="197" t="str">
        <f t="shared" si="2"/>
        <v/>
      </c>
      <c r="J14" s="197" t="str">
        <f t="shared" si="3"/>
        <v/>
      </c>
      <c r="K14" s="197" t="str">
        <f>IF(I14="",K12,K12&amp;I14&amp;",")</f>
        <v/>
      </c>
      <c r="L14" s="197" t="str">
        <f>IF(J14="",L12,L12&amp;J14&amp;",")</f>
        <v/>
      </c>
    </row>
    <row r="15" spans="1:12" ht="15.75" thickBot="1" x14ac:dyDescent="0.3">
      <c r="A15" s="189"/>
      <c r="B15" s="189"/>
      <c r="C15" s="195" t="str">
        <f>IF(LEN(C14)&gt;1,IF(A15="",LEFT(C14,LEN(C14)-1),C14&amp;A15),IF(A15="","",A15))</f>
        <v/>
      </c>
      <c r="D15" s="195" t="str">
        <f t="shared" si="0"/>
        <v/>
      </c>
      <c r="E15" s="195" t="str">
        <f t="shared" si="1"/>
        <v/>
      </c>
      <c r="F15" s="195" t="str">
        <f>IF(LEN(F14)&gt;1,IF(D15="",LEFT(F14,LEN(F14)-1),F14&amp;D15),IF(D15="","",D15))</f>
        <v/>
      </c>
      <c r="G15" s="195" t="str">
        <f>IF(LEN(G14)&gt;1,IF(E15="",LEFT(G14,LEN(G14)-1),G14&amp;E15),IF(E15="","",E15))</f>
        <v/>
      </c>
      <c r="H15" s="197" t="str">
        <f>IF(LEN(H14)&gt;1,IF(B15="",LEFT(H14,LEN(H14)-1),H14&amp;B15),IF(B15="","",B15))</f>
        <v/>
      </c>
      <c r="I15" s="197" t="str">
        <f t="shared" si="2"/>
        <v/>
      </c>
      <c r="J15" s="197" t="str">
        <f t="shared" si="3"/>
        <v/>
      </c>
      <c r="K15" s="197" t="str">
        <f>IF(LEN(K14)&gt;1,IF(I15="",LEFT(K14,LEN(K14)-1),K14&amp;I15),IF(I15="","",I15))</f>
        <v/>
      </c>
      <c r="L15" s="19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Normal="100" workbookViewId="0">
      <selection activeCell="I11" sqref="I11"/>
    </sheetView>
  </sheetViews>
  <sheetFormatPr defaultColWidth="0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4.5703125" style="206" hidden="1" customWidth="1"/>
    <col min="5" max="5" width="23" style="206" hidden="1" customWidth="1"/>
    <col min="6" max="7" width="57.140625" style="160" customWidth="1"/>
    <col min="8" max="8" width="43.140625" style="160" customWidth="1"/>
    <col min="9" max="9" width="32.7109375" style="160" customWidth="1"/>
    <col min="10" max="10" width="25.28515625" style="160" customWidth="1"/>
    <col min="11" max="11" width="18" style="160" hidden="1" customWidth="1"/>
    <col min="12" max="12" width="28.85546875" style="160" customWidth="1"/>
    <col min="13" max="13" width="6.42578125" style="160" customWidth="1"/>
    <col min="14" max="14" width="15.5703125" style="160" customWidth="1"/>
    <col min="15" max="15" width="66.85546875" style="160" customWidth="1"/>
    <col min="16" max="16384" width="9.140625" style="160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3" t="s">
        <v>905</v>
      </c>
      <c r="E1" s="20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7"/>
      <c r="E2" s="20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WIND</v>
      </c>
      <c r="C3" s="166" t="s">
        <v>434</v>
      </c>
      <c r="D3" s="114" t="str">
        <f>IF(ΓΕΝΙΚΑ!$B$17="ΝΑΙ",15300,"")</f>
        <v/>
      </c>
      <c r="E3" s="114" t="str">
        <f>IF(ΓΕΝΙΚΑ!$B$17="ΝΑΙ","ΠΑΝΕΛΛΑΔΙΚΑ","")</f>
        <v/>
      </c>
      <c r="F3" s="190" t="str">
        <f>'ΤΚ ΜΕΤΡΗΣΕΩΝ B01'!C15</f>
        <v/>
      </c>
      <c r="G3" s="5" t="s">
        <v>440</v>
      </c>
      <c r="H3" s="5" t="s">
        <v>445</v>
      </c>
      <c r="I3" s="165">
        <v>1</v>
      </c>
      <c r="J3" s="173"/>
      <c r="K3" s="248" t="str">
        <f>IF(ISNUMBER(J3),ROUND(J3,2),"N/A")</f>
        <v>N/A</v>
      </c>
      <c r="L3" s="263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WIND</v>
      </c>
      <c r="C4" s="15" t="str">
        <f>$C$3</f>
        <v>Άμεση</v>
      </c>
      <c r="D4" s="205" t="str">
        <f>$D$3</f>
        <v/>
      </c>
      <c r="E4" s="205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74"/>
      <c r="K4" s="248" t="str">
        <f t="shared" ref="K4:K18" si="3">IF(ISNUMBER(J4),ROUND(J4,2),"N/A")</f>
        <v>N/A</v>
      </c>
      <c r="L4" s="223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WIND</v>
      </c>
      <c r="C5" s="15" t="str">
        <f t="shared" ref="C5:C10" si="6">$C$3</f>
        <v>Άμεση</v>
      </c>
      <c r="D5" s="205" t="str">
        <f t="shared" ref="D5:D10" si="7">$D$3</f>
        <v/>
      </c>
      <c r="E5" s="205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74"/>
      <c r="K5" s="248" t="str">
        <f t="shared" si="3"/>
        <v>N/A</v>
      </c>
      <c r="L5" s="223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WIND</v>
      </c>
      <c r="C6" s="15" t="str">
        <f t="shared" si="6"/>
        <v>Άμεση</v>
      </c>
      <c r="D6" s="205" t="str">
        <f t="shared" si="7"/>
        <v/>
      </c>
      <c r="E6" s="205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74"/>
      <c r="K6" s="248" t="str">
        <f t="shared" si="3"/>
        <v>N/A</v>
      </c>
      <c r="L6" s="223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WIND</v>
      </c>
      <c r="C7" s="15" t="str">
        <f t="shared" si="6"/>
        <v>Άμεση</v>
      </c>
      <c r="D7" s="205" t="str">
        <f t="shared" si="7"/>
        <v/>
      </c>
      <c r="E7" s="205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74"/>
      <c r="K7" s="248" t="str">
        <f t="shared" si="3"/>
        <v>N/A</v>
      </c>
      <c r="L7" s="223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WIND</v>
      </c>
      <c r="C8" s="15" t="str">
        <f t="shared" si="6"/>
        <v>Άμεση</v>
      </c>
      <c r="D8" s="205" t="str">
        <f t="shared" si="7"/>
        <v/>
      </c>
      <c r="E8" s="205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74"/>
      <c r="K8" s="248" t="str">
        <f t="shared" si="3"/>
        <v>N/A</v>
      </c>
      <c r="L8" s="223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WIND</v>
      </c>
      <c r="C9" s="15" t="str">
        <f t="shared" si="6"/>
        <v>Άμεση</v>
      </c>
      <c r="D9" s="205" t="str">
        <f t="shared" si="7"/>
        <v/>
      </c>
      <c r="E9" s="205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74"/>
      <c r="K9" s="248" t="str">
        <f t="shared" si="3"/>
        <v>N/A</v>
      </c>
      <c r="L9" s="223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WIND</v>
      </c>
      <c r="C10" s="17" t="str">
        <f t="shared" si="6"/>
        <v>Άμεση</v>
      </c>
      <c r="D10" s="208" t="str">
        <f t="shared" si="7"/>
        <v/>
      </c>
      <c r="E10" s="208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75"/>
      <c r="K10" s="248" t="str">
        <f t="shared" si="3"/>
        <v>N/A</v>
      </c>
      <c r="L10" s="223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WIND</v>
      </c>
      <c r="C11" s="61" t="str">
        <f>$C$3</f>
        <v>Άμεση</v>
      </c>
      <c r="D11" s="114" t="str">
        <f>IF(ΓΕΝΙΚΑ!$B$17="ΝΑΙ",15300,"")</f>
        <v/>
      </c>
      <c r="E11" s="114" t="str">
        <f>IF(ΓΕΝΙΚΑ!$B$17="ΝΑΙ","ΠΑΝΕΛΛΑΔΙΚΑ","")</f>
        <v/>
      </c>
      <c r="F11" s="190" t="str">
        <f>'ΤΚ ΜΕΤΡΗΣΕΩΝ B01'!H15</f>
        <v/>
      </c>
      <c r="G11" s="5" t="s">
        <v>440</v>
      </c>
      <c r="H11" s="5" t="s">
        <v>445</v>
      </c>
      <c r="I11" s="134"/>
      <c r="J11" s="173"/>
      <c r="K11" s="248" t="str">
        <f t="shared" si="3"/>
        <v>N/A</v>
      </c>
      <c r="L11" s="223" t="str">
        <f t="shared" si="9"/>
        <v/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WIND</v>
      </c>
      <c r="C12" s="15" t="str">
        <f>$C$3</f>
        <v>Άμεση</v>
      </c>
      <c r="D12" s="205" t="str">
        <f>$D$11</f>
        <v/>
      </c>
      <c r="E12" s="205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4"/>
      <c r="K12" s="248" t="str">
        <f t="shared" si="3"/>
        <v>N/A</v>
      </c>
      <c r="L12" s="223" t="str">
        <f t="shared" si="9"/>
        <v/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WIND</v>
      </c>
      <c r="C13" s="15" t="str">
        <f t="shared" ref="C13:C18" si="14">$C$3</f>
        <v>Άμεση</v>
      </c>
      <c r="D13" s="205" t="str">
        <f t="shared" ref="D13:D18" si="15">$D$11</f>
        <v/>
      </c>
      <c r="E13" s="205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74"/>
      <c r="K13" s="248" t="str">
        <f t="shared" si="3"/>
        <v>N/A</v>
      </c>
      <c r="L13" s="223" t="str">
        <f t="shared" si="9"/>
        <v/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WIND</v>
      </c>
      <c r="C14" s="15" t="str">
        <f t="shared" si="14"/>
        <v>Άμεση</v>
      </c>
      <c r="D14" s="205" t="str">
        <f t="shared" si="15"/>
        <v/>
      </c>
      <c r="E14" s="205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74"/>
      <c r="K14" s="248" t="str">
        <f t="shared" si="3"/>
        <v>N/A</v>
      </c>
      <c r="L14" s="223" t="str">
        <f t="shared" si="9"/>
        <v/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WIND</v>
      </c>
      <c r="C15" s="15" t="str">
        <f t="shared" si="14"/>
        <v>Άμεση</v>
      </c>
      <c r="D15" s="205" t="str">
        <f t="shared" si="15"/>
        <v/>
      </c>
      <c r="E15" s="205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74"/>
      <c r="K15" s="248" t="str">
        <f t="shared" si="3"/>
        <v>N/A</v>
      </c>
      <c r="L15" s="223" t="str">
        <f t="shared" si="9"/>
        <v/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WIND</v>
      </c>
      <c r="C16" s="15" t="str">
        <f t="shared" si="14"/>
        <v>Άμεση</v>
      </c>
      <c r="D16" s="205" t="str">
        <f t="shared" si="15"/>
        <v/>
      </c>
      <c r="E16" s="205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74"/>
      <c r="K16" s="248" t="str">
        <f t="shared" si="3"/>
        <v>N/A</v>
      </c>
      <c r="L16" s="223" t="str">
        <f t="shared" si="9"/>
        <v/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WIND</v>
      </c>
      <c r="C17" s="15" t="str">
        <f t="shared" si="14"/>
        <v>Άμεση</v>
      </c>
      <c r="D17" s="205" t="str">
        <f t="shared" si="15"/>
        <v/>
      </c>
      <c r="E17" s="205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74"/>
      <c r="K17" s="248" t="str">
        <f t="shared" si="3"/>
        <v>N/A</v>
      </c>
      <c r="L17" s="223" t="str">
        <f t="shared" si="9"/>
        <v/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WIND</v>
      </c>
      <c r="C18" s="17" t="str">
        <f t="shared" si="14"/>
        <v>Άμεση</v>
      </c>
      <c r="D18" s="208" t="str">
        <f t="shared" si="15"/>
        <v/>
      </c>
      <c r="E18" s="208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75"/>
      <c r="K18" s="248" t="str">
        <f t="shared" si="3"/>
        <v>N/A</v>
      </c>
      <c r="L18" s="224" t="str">
        <f t="shared" si="9"/>
        <v/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workbookViewId="0">
      <selection activeCell="C6" sqref="C6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4" width="23" style="160" customWidth="1"/>
    <col min="5" max="6" width="23" style="160" hidden="1" customWidth="1"/>
    <col min="7" max="7" width="42.85546875" style="160" customWidth="1"/>
    <col min="8" max="8" width="23.28515625" style="160" customWidth="1"/>
    <col min="9" max="9" width="23.28515625" style="160" bestFit="1" customWidth="1"/>
    <col min="10" max="10" width="23.28515625" style="160" hidden="1" customWidth="1"/>
    <col min="11" max="11" width="23.28515625" style="160" customWidth="1"/>
    <col min="12" max="12" width="23.28515625" style="160" hidden="1" customWidth="1"/>
    <col min="13" max="13" width="23.28515625" style="160" customWidth="1"/>
    <col min="14" max="14" width="6.7109375" style="160" customWidth="1"/>
    <col min="15" max="15" width="11.85546875" style="160" customWidth="1"/>
    <col min="16" max="16" width="77" style="160" customWidth="1"/>
    <col min="17" max="16384" width="9.140625" style="160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WIND</v>
      </c>
      <c r="C3" s="112" t="s">
        <v>434</v>
      </c>
      <c r="D3" s="114" t="s">
        <v>555</v>
      </c>
      <c r="E3" s="114" t="str">
        <f>IF(ΓΕΝΙΚΑ!$B$17="ΝΑΙ",15300,"")</f>
        <v/>
      </c>
      <c r="F3" s="114" t="str">
        <f>IF(ΓΕΝΙΚΑ!$B$17="ΝΑΙ","ΠΑΝΕΛΛΑΔΙΚΑ","")</f>
        <v/>
      </c>
      <c r="G3" s="19" t="s">
        <v>456</v>
      </c>
      <c r="H3" s="19" t="s">
        <v>445</v>
      </c>
      <c r="I3" s="115"/>
      <c r="J3" s="84" t="str">
        <f>IF(ISNUMBER(I3),ROUND(I3,0),"N/A")</f>
        <v>N/A</v>
      </c>
      <c r="K3" s="118"/>
      <c r="L3" s="84" t="str">
        <f>IF(ISNUMBER(K$3),ROUND(K$3,0),"")</f>
        <v/>
      </c>
      <c r="M3" s="264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WIND</v>
      </c>
      <c r="C4" s="69" t="str">
        <f t="shared" si="0"/>
        <v>Άμεση</v>
      </c>
      <c r="D4" s="69" t="s">
        <v>555</v>
      </c>
      <c r="E4" s="114" t="str">
        <f>IF(ΓΕΝΙΚΑ!$B$17="ΝΑΙ",15300,"")</f>
        <v/>
      </c>
      <c r="F4" s="114" t="str">
        <f>IF(ΓΕΝΙΚΑ!$B$17="ΝΑΙ","ΠΑΝΕΛΛΑΔΙΚΑ","")</f>
        <v/>
      </c>
      <c r="G4" s="66" t="s">
        <v>456</v>
      </c>
      <c r="H4" s="20" t="s">
        <v>446</v>
      </c>
      <c r="I4" s="116"/>
      <c r="J4" s="226" t="str">
        <f t="shared" ref="J4:J8" si="1">IF(ISNUMBER(I4),ROUND(I4,0),"N/A")</f>
        <v>N/A</v>
      </c>
      <c r="K4" s="256">
        <f>$K$3</f>
        <v>0</v>
      </c>
      <c r="L4" s="226" t="str">
        <f t="shared" ref="L4:L8" si="2">IF(ISNUMBER(K$3),ROUND(K$3,0),"")</f>
        <v/>
      </c>
      <c r="M4" s="225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WIND</v>
      </c>
      <c r="C5" s="69" t="str">
        <f>C3</f>
        <v>Άμεση</v>
      </c>
      <c r="D5" s="69" t="s">
        <v>555</v>
      </c>
      <c r="E5" s="114" t="str">
        <f>IF(ΓΕΝΙΚΑ!$B$17="ΝΑΙ",15300,"")</f>
        <v/>
      </c>
      <c r="F5" s="114" t="str">
        <f>IF(ΓΕΝΙΚΑ!$B$17="ΝΑΙ","ΠΑΝΕΛΛΑΔΙΚΑ","")</f>
        <v/>
      </c>
      <c r="G5" s="66" t="s">
        <v>457</v>
      </c>
      <c r="H5" s="20" t="s">
        <v>445</v>
      </c>
      <c r="I5" s="116"/>
      <c r="J5" s="226" t="str">
        <f t="shared" si="1"/>
        <v>N/A</v>
      </c>
      <c r="K5" s="65">
        <f t="shared" ref="K5:K8" si="4">$K$3</f>
        <v>0</v>
      </c>
      <c r="L5" s="226" t="str">
        <f t="shared" si="2"/>
        <v/>
      </c>
      <c r="M5" s="225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WIND</v>
      </c>
      <c r="C6" s="69" t="str">
        <f>C3</f>
        <v>Άμεση</v>
      </c>
      <c r="D6" s="69" t="s">
        <v>555</v>
      </c>
      <c r="E6" s="114" t="str">
        <f>IF(ΓΕΝΙΚΑ!$B$17="ΝΑΙ",15300,"")</f>
        <v/>
      </c>
      <c r="F6" s="114" t="str">
        <f>IF(ΓΕΝΙΚΑ!$B$17="ΝΑΙ","ΠΑΝΕΛΛΑΔΙΚΑ","")</f>
        <v/>
      </c>
      <c r="G6" s="66" t="s">
        <v>457</v>
      </c>
      <c r="H6" s="20" t="s">
        <v>446</v>
      </c>
      <c r="I6" s="116"/>
      <c r="J6" s="226" t="str">
        <f t="shared" si="1"/>
        <v>N/A</v>
      </c>
      <c r="K6" s="65">
        <f t="shared" si="4"/>
        <v>0</v>
      </c>
      <c r="L6" s="226" t="str">
        <f t="shared" si="2"/>
        <v/>
      </c>
      <c r="M6" s="225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WIND</v>
      </c>
      <c r="C7" s="69" t="str">
        <f>C3</f>
        <v>Άμεση</v>
      </c>
      <c r="D7" s="69" t="s">
        <v>555</v>
      </c>
      <c r="E7" s="114" t="str">
        <f>IF(ΓΕΝΙΚΑ!$B$17="ΝΑΙ",15300,"")</f>
        <v/>
      </c>
      <c r="F7" s="114" t="str">
        <f>IF(ΓΕΝΙΚΑ!$B$17="ΝΑΙ","ΠΑΝΕΛΛΑΔΙΚΑ","")</f>
        <v/>
      </c>
      <c r="G7" s="66" t="s">
        <v>458</v>
      </c>
      <c r="H7" s="20" t="s">
        <v>445</v>
      </c>
      <c r="I7" s="116"/>
      <c r="J7" s="226" t="str">
        <f t="shared" si="1"/>
        <v>N/A</v>
      </c>
      <c r="K7" s="65">
        <f t="shared" si="4"/>
        <v>0</v>
      </c>
      <c r="L7" s="226" t="str">
        <f t="shared" si="2"/>
        <v/>
      </c>
      <c r="M7" s="225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WIND</v>
      </c>
      <c r="C8" s="72" t="str">
        <f>C3</f>
        <v>Άμεση</v>
      </c>
      <c r="D8" s="72" t="s">
        <v>555</v>
      </c>
      <c r="E8" s="114" t="str">
        <f>IF(ΓΕΝΙΚΑ!$B$17="ΝΑΙ",15300,"")</f>
        <v/>
      </c>
      <c r="F8" s="114" t="str">
        <f>IF(ΓΕΝΙΚΑ!$B$17="ΝΑΙ","ΠΑΝΕΛΛΑΔΙΚΑ","")</f>
        <v/>
      </c>
      <c r="G8" s="67" t="s">
        <v>458</v>
      </c>
      <c r="H8" s="21" t="s">
        <v>446</v>
      </c>
      <c r="I8" s="117"/>
      <c r="J8" s="226" t="str">
        <f t="shared" si="1"/>
        <v>N/A</v>
      </c>
      <c r="K8" s="73">
        <f t="shared" si="4"/>
        <v>0</v>
      </c>
      <c r="L8" s="226" t="str">
        <f t="shared" si="2"/>
        <v/>
      </c>
      <c r="M8" s="249" t="str">
        <f t="shared" si="5"/>
        <v/>
      </c>
      <c r="O8" s="98" t="str">
        <f t="shared" si="3"/>
        <v>ΣΦΑΛΜΑ</v>
      </c>
      <c r="P8" s="113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25.140625" style="206" hidden="1" customWidth="1"/>
    <col min="5" max="5" width="40" style="206" hidden="1" customWidth="1"/>
    <col min="6" max="6" width="60" style="160" customWidth="1"/>
    <col min="7" max="7" width="21.42578125" style="160" customWidth="1"/>
    <col min="8" max="8" width="17.28515625" style="160" customWidth="1"/>
    <col min="9" max="9" width="36.140625" style="160" customWidth="1"/>
    <col min="10" max="10" width="24" style="160" hidden="1" customWidth="1"/>
    <col min="11" max="11" width="24" style="160" customWidth="1"/>
    <col min="12" max="12" width="5.42578125" style="160" customWidth="1"/>
    <col min="13" max="13" width="13" style="160" customWidth="1"/>
    <col min="14" max="14" width="82.5703125" style="160" customWidth="1"/>
    <col min="15" max="16384" width="9.140625" style="160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3" t="s">
        <v>905</v>
      </c>
      <c r="E1" s="20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67" customFormat="1" ht="34.5" customHeight="1" thickBot="1" x14ac:dyDescent="0.3">
      <c r="A2" s="3" t="s">
        <v>422</v>
      </c>
      <c r="B2" s="4" t="s">
        <v>28</v>
      </c>
      <c r="C2" s="4" t="s">
        <v>433</v>
      </c>
      <c r="D2" s="204"/>
      <c r="E2" s="204"/>
      <c r="F2" s="4" t="s">
        <v>554</v>
      </c>
      <c r="G2" s="21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WIND</v>
      </c>
      <c r="C3" s="92" t="s">
        <v>434</v>
      </c>
      <c r="D3" s="205" t="s">
        <v>923</v>
      </c>
      <c r="E3" s="266" t="s">
        <v>925</v>
      </c>
      <c r="F3" s="119"/>
      <c r="G3" s="268" t="s">
        <v>925</v>
      </c>
      <c r="H3" s="58" t="s">
        <v>486</v>
      </c>
      <c r="I3" s="144">
        <f>$I$5</f>
        <v>0</v>
      </c>
      <c r="J3" s="247" t="str">
        <f>IF(ISNUMBER(I$5),ROUND(I$5,2),"N/A")</f>
        <v>N/A</v>
      </c>
      <c r="K3" s="267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WIND</v>
      </c>
      <c r="C4" s="91" t="str">
        <f>$C$3</f>
        <v>Άμεση</v>
      </c>
      <c r="D4" s="205" t="s">
        <v>923</v>
      </c>
      <c r="E4" s="266" t="s">
        <v>925</v>
      </c>
      <c r="F4" s="104"/>
      <c r="G4" s="268" t="s">
        <v>925</v>
      </c>
      <c r="H4" s="58" t="str">
        <f t="shared" ref="H4" si="0">$H$3</f>
        <v>Εθνικές</v>
      </c>
      <c r="I4" s="142">
        <f>$I$5</f>
        <v>0</v>
      </c>
      <c r="J4" s="247" t="str">
        <f>IF(ISNUMBER(I$5),ROUND(I$5,2),"N/A")</f>
        <v>N/A</v>
      </c>
      <c r="K4" s="22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WIND</v>
      </c>
      <c r="C5" s="91" t="str">
        <f t="shared" ref="C5:C12" si="3">$C$3</f>
        <v>Άμεση</v>
      </c>
      <c r="D5" s="215">
        <f>IF(ΓΕΝΙΚΑ!$B$23="ΝΑΙ",15300,"")</f>
        <v>15300</v>
      </c>
      <c r="E5" s="21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47" t="str">
        <f>IF(ISNUMBER(I$5),ROUND(I$5,2),"N/A")</f>
        <v>N/A</v>
      </c>
      <c r="K5" s="22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WIND</v>
      </c>
      <c r="C6" s="91" t="str">
        <f t="shared" si="3"/>
        <v>Άμεση</v>
      </c>
      <c r="D6" s="205" t="s">
        <v>923</v>
      </c>
      <c r="E6" s="266" t="s">
        <v>925</v>
      </c>
      <c r="F6" s="104"/>
      <c r="G6" s="268" t="s">
        <v>925</v>
      </c>
      <c r="H6" s="58" t="str">
        <f t="shared" ref="H6:H7" si="6">$H$3</f>
        <v>Εθνικές</v>
      </c>
      <c r="I6" s="142">
        <f t="shared" ref="I6:I7" si="7">$I$5</f>
        <v>0</v>
      </c>
      <c r="J6" s="247" t="str">
        <f>IF(ISNUMBER(I$5),ROUND(I$5,2),"N/A")</f>
        <v>N/A</v>
      </c>
      <c r="K6" s="22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WIND</v>
      </c>
      <c r="C7" s="91" t="str">
        <f t="shared" si="3"/>
        <v>Άμεση</v>
      </c>
      <c r="D7" s="205" t="s">
        <v>923</v>
      </c>
      <c r="E7" s="266" t="s">
        <v>925</v>
      </c>
      <c r="F7" s="105"/>
      <c r="G7" s="268" t="s">
        <v>925</v>
      </c>
      <c r="H7" s="79" t="str">
        <f t="shared" si="6"/>
        <v>Εθνικές</v>
      </c>
      <c r="I7" s="143">
        <f t="shared" si="7"/>
        <v>0</v>
      </c>
      <c r="J7" s="247" t="str">
        <f>IF(ISNUMBER(I$5),ROUND(I$5,2),"N/A")</f>
        <v>N/A</v>
      </c>
      <c r="K7" s="22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WIND</v>
      </c>
      <c r="C8" s="91" t="str">
        <f t="shared" si="3"/>
        <v>Άμεση</v>
      </c>
      <c r="D8" s="205" t="str">
        <f>D3</f>
        <v>N/A</v>
      </c>
      <c r="E8" s="266" t="s">
        <v>925</v>
      </c>
      <c r="F8" s="106" t="str">
        <f>TEXT(F3,)</f>
        <v/>
      </c>
      <c r="G8" s="268" t="s">
        <v>925</v>
      </c>
      <c r="H8" s="58" t="s">
        <v>487</v>
      </c>
      <c r="I8" s="142">
        <f>$I$10</f>
        <v>0</v>
      </c>
      <c r="J8" s="247" t="str">
        <f>IF(ISNUMBER(I$10),ROUND(I$10,2),"N/A")</f>
        <v>N/A</v>
      </c>
      <c r="K8" s="22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WIND</v>
      </c>
      <c r="C9" s="91" t="str">
        <f t="shared" si="3"/>
        <v>Άμεση</v>
      </c>
      <c r="D9" s="205" t="str">
        <f t="shared" ref="D9:E9" si="8">D4</f>
        <v>N/A</v>
      </c>
      <c r="E9" s="205" t="str">
        <f t="shared" si="8"/>
        <v/>
      </c>
      <c r="F9" s="106" t="str">
        <f t="shared" ref="F9:F12" si="9">TEXT(F4,)</f>
        <v/>
      </c>
      <c r="G9" s="268" t="s">
        <v>925</v>
      </c>
      <c r="H9" s="58" t="str">
        <f>$H$8</f>
        <v>Διεθνείς</v>
      </c>
      <c r="I9" s="142">
        <f>$I$10</f>
        <v>0</v>
      </c>
      <c r="J9" s="247" t="str">
        <f>IF(ISNUMBER(I$10),ROUND(I$10,2),"N/A")</f>
        <v>N/A</v>
      </c>
      <c r="K9" s="22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WIND</v>
      </c>
      <c r="C10" s="91" t="str">
        <f t="shared" si="3"/>
        <v>Άμεση</v>
      </c>
      <c r="D10" s="205">
        <f t="shared" ref="D10:E10" si="10">D5</f>
        <v>15300</v>
      </c>
      <c r="E10" s="20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47" t="str">
        <f>IF(ISNUMBER(I$10),ROUND(I$10,2),"N/A")</f>
        <v>N/A</v>
      </c>
      <c r="K10" s="22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WIND</v>
      </c>
      <c r="C11" s="91" t="str">
        <f t="shared" si="3"/>
        <v>Άμεση</v>
      </c>
      <c r="D11" s="205" t="str">
        <f t="shared" ref="D11:E11" si="12">D6</f>
        <v>N/A</v>
      </c>
      <c r="E11" s="205" t="str">
        <f t="shared" si="12"/>
        <v/>
      </c>
      <c r="F11" s="107" t="str">
        <f t="shared" si="9"/>
        <v/>
      </c>
      <c r="G11" s="268" t="s">
        <v>925</v>
      </c>
      <c r="H11" s="74" t="str">
        <f t="shared" si="11"/>
        <v>Διεθνείς</v>
      </c>
      <c r="I11" s="142">
        <f t="shared" ref="I11:I12" si="13">$I$10</f>
        <v>0</v>
      </c>
      <c r="J11" s="247" t="str">
        <f>IF(ISNUMBER(I$10),ROUND(I$10,2),"N/A")</f>
        <v>N/A</v>
      </c>
      <c r="K11" s="22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5" t="str">
        <f t="shared" si="2"/>
        <v>WIND</v>
      </c>
      <c r="C12" s="78" t="str">
        <f t="shared" si="3"/>
        <v>Άμεση</v>
      </c>
      <c r="D12" s="205" t="str">
        <f t="shared" ref="D12:E12" si="14">D7</f>
        <v>N/A</v>
      </c>
      <c r="E12" s="205" t="str">
        <f t="shared" si="14"/>
        <v/>
      </c>
      <c r="F12" s="108" t="str">
        <f t="shared" si="9"/>
        <v/>
      </c>
      <c r="G12" s="296" t="s">
        <v>925</v>
      </c>
      <c r="H12" s="102" t="str">
        <f t="shared" si="11"/>
        <v>Διεθνείς</v>
      </c>
      <c r="I12" s="143">
        <f t="shared" si="13"/>
        <v>0</v>
      </c>
      <c r="J12" s="247" t="str">
        <f>IF(ISNUMBER(I$10),ROUND(I$10,2),"N/A")</f>
        <v>N/A</v>
      </c>
      <c r="K12" s="22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P3" sqref="P3"/>
    </sheetView>
  </sheetViews>
  <sheetFormatPr defaultColWidth="9.140625" defaultRowHeight="15" zeroHeight="1" x14ac:dyDescent="0.25"/>
  <cols>
    <col min="1" max="1" width="50" style="160" customWidth="1"/>
    <col min="2" max="2" width="23" style="160" hidden="1" customWidth="1"/>
    <col min="3" max="3" width="23" style="160" customWidth="1"/>
    <col min="4" max="4" width="33.28515625" style="160" customWidth="1"/>
    <col min="5" max="6" width="33.28515625" style="160" hidden="1" customWidth="1"/>
    <col min="7" max="7" width="41.85546875" style="160" customWidth="1"/>
    <col min="8" max="8" width="23" style="160" customWidth="1"/>
    <col min="9" max="9" width="16" style="160" customWidth="1"/>
    <col min="10" max="10" width="32" style="160" customWidth="1"/>
    <col min="11" max="12" width="23.7109375" style="160" hidden="1" customWidth="1"/>
    <col min="13" max="13" width="17.28515625" style="160" customWidth="1"/>
    <col min="14" max="14" width="40.42578125" style="160" customWidth="1"/>
    <col min="15" max="15" width="6.28515625" style="168" customWidth="1"/>
    <col min="16" max="16" width="13.42578125" style="160" customWidth="1"/>
    <col min="17" max="17" width="69.85546875" style="160" customWidth="1"/>
    <col min="18" max="18" width="56.42578125" style="160" customWidth="1"/>
    <col min="19" max="16384" width="9.140625" style="160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69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69" t="str">
        <f>ΓΕΝΙΚΑ!C4</f>
        <v>WIND</v>
      </c>
      <c r="C3" s="171" t="s">
        <v>434</v>
      </c>
      <c r="D3" s="126">
        <v>1</v>
      </c>
      <c r="E3" s="199" t="str">
        <f>IF(ΓΕΝΙΚΑ!$B$19="ΝΑΙ",_xlfn.IFNA(INDEX(OrchardIDnai,MATCH(G3,DimosNameNai,0)),""),"")</f>
        <v/>
      </c>
      <c r="F3" s="19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73" t="s">
        <v>925</v>
      </c>
      <c r="K3" s="17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72" t="s">
        <v>925</v>
      </c>
      <c r="O3" s="170"/>
      <c r="P3" s="130" t="str">
        <f t="shared" ref="P3:P6" si="1">IF(Q3="","","ΣΦΑΛΜΑ")</f>
        <v>ΣΦΑΛΜΑ</v>
      </c>
      <c r="Q3" s="147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70" t="str">
        <f>ΓΕΝΙΚΑ!C4</f>
        <v>WIND</v>
      </c>
      <c r="C4" s="91" t="str">
        <f>C3</f>
        <v>Άμεση</v>
      </c>
      <c r="D4" s="127">
        <v>1</v>
      </c>
      <c r="E4" s="200" t="str">
        <f>IF(ΓΕΝΙΚΑ!$B$19="ΝΑΙ",_xlfn.IFNA(INDEX(OrchardIDnai,MATCH(G4,DimosNameNai,0)),""),"")</f>
        <v/>
      </c>
      <c r="F4" s="20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31" t="str">
        <f>N3</f>
        <v/>
      </c>
      <c r="O4" s="170"/>
      <c r="P4" s="130" t="str">
        <f t="shared" si="1"/>
        <v>ΣΦΑΛΜΑ</v>
      </c>
      <c r="Q4" s="147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70" t="str">
        <f>ΓΕΝΙΚΑ!C4</f>
        <v>WIND</v>
      </c>
      <c r="C5" s="141" t="str">
        <f>C3</f>
        <v>Άμεση</v>
      </c>
      <c r="D5" s="137">
        <v>2</v>
      </c>
      <c r="E5" s="200" t="str">
        <f>IF(ΓΕΝΙΚΑ!$B$19="ΝΑΙ",_xlfn.IFNA(INDEX(OrchardIDnai,MATCH(G5,DimosNameNai,0)),""),"")</f>
        <v/>
      </c>
      <c r="F5" s="201" t="str">
        <f>IF(ΓΕΝΙΚΑ!$B$19="ΝΑΙ",_xlfn.IFNA(INDEX(OrchardNameNai,MATCH(G5,DimosNameNai,0)),""),"")</f>
        <v/>
      </c>
      <c r="G5" s="134"/>
      <c r="H5" s="180" t="s">
        <v>445</v>
      </c>
      <c r="I5" s="178"/>
      <c r="J5" s="274" t="s">
        <v>925</v>
      </c>
      <c r="K5" s="17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78"/>
      <c r="N5" s="231" t="str">
        <f>N3</f>
        <v/>
      </c>
      <c r="O5" s="170"/>
      <c r="P5" s="130" t="str">
        <f t="shared" si="1"/>
        <v>ΣΦΑΛΜΑ</v>
      </c>
      <c r="Q5" s="147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71" t="str">
        <f>ΓΕΝΙΚΑ!C4</f>
        <v>WIND</v>
      </c>
      <c r="C6" s="78" t="str">
        <f>C3</f>
        <v>Άμεση</v>
      </c>
      <c r="D6" s="128">
        <f t="shared" ref="D6" si="5">IF(ISNUMBER($D$5),$D$5,"")</f>
        <v>2</v>
      </c>
      <c r="E6" s="200" t="str">
        <f>IF(ΓΕΝΙΚΑ!$B$19="ΝΑΙ",_xlfn.IFNA(INDEX(OrchardIDnai,MATCH(G6,DimosNameNai,0)),""),"")</f>
        <v/>
      </c>
      <c r="F6" s="20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32" t="str">
        <f>N3</f>
        <v/>
      </c>
      <c r="O6" s="170"/>
      <c r="P6" s="131" t="str">
        <f t="shared" si="1"/>
        <v>ΣΦΑΛΜΑ</v>
      </c>
      <c r="Q6" s="17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KARAGIANNOPOULOS EVANGELOS</cp:lastModifiedBy>
  <cp:lastPrinted>2015-09-24T06:21:34Z</cp:lastPrinted>
  <dcterms:created xsi:type="dcterms:W3CDTF">2015-03-10T09:10:24Z</dcterms:created>
  <dcterms:modified xsi:type="dcterms:W3CDTF">2021-01-12T12:54:28Z</dcterms:modified>
</cp:coreProperties>
</file>