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QI\QI_S1_19\vodafone_diorthwsi_2019\uploaded\"/>
    </mc:Choice>
  </mc:AlternateContent>
  <workbookProtection workbookPassword="ECDD" lockStructure="1"/>
  <bookViews>
    <workbookView xWindow="0" yWindow="0" windowWidth="28800" windowHeight="11535" activeTab="9"/>
  </bookViews>
  <sheets>
    <sheet name="ΓΕΝΙΚΑ" sheetId="6" r:id="rId1"/>
    <sheet name="ΠΕΡΙΦΕΡΕΙΑ" sheetId="3" r:id="rId2"/>
    <sheet name="ΔΗΜΟΣ" sheetId="4" r:id="rId3"/>
    <sheet name="ΤΚ" sheetId="5" state="hidden" r:id="rId4"/>
    <sheet name="ΤΚ ΜΕΤΡΗΣΕΩΝ B01" sheetId="14" r:id="rId5"/>
    <sheet name="B01" sheetId="1" r:id="rId6"/>
    <sheet name="B02" sheetId="7" r:id="rId7"/>
    <sheet name="B03" sheetId="8" r:id="rId8"/>
    <sheet name="B04" sheetId="9" r:id="rId9"/>
    <sheet name="B05" sheetId="10" r:id="rId10"/>
    <sheet name="B06" sheetId="11" r:id="rId11"/>
    <sheet name="B07" sheetId="12" r:id="rId12"/>
    <sheet name="B08" sheetId="13" r:id="rId13"/>
    <sheet name="Lists" sheetId="2" state="hidden" r:id="rId14"/>
  </sheets>
  <definedNames>
    <definedName name="_xlnm._FilterDatabase" localSheetId="2" hidden="1">ΔΗΜΟΣ!$B$1:$D$326</definedName>
    <definedName name="_xlnm._FilterDatabase" localSheetId="3" hidden="1">ΤΚ!$B$1:$D$326</definedName>
    <definedName name="CallType">Lists!$P$3:$P$4</definedName>
    <definedName name="Coverage.Type.">Lists!$F$3:$F$5</definedName>
    <definedName name="DimosCoverage">Lists!$G$3:$G$4</definedName>
    <definedName name="DimosNai">ΔΗΜΟΣ!$M$2:$M$326</definedName>
    <definedName name="DimosNaiOxi">ΔΗΜΟΣ!$L$2:$L$326</definedName>
    <definedName name="DimosNameNai">ΤΚ!$M$2:$M$326</definedName>
    <definedName name="dimosSN">ΤΚ!$A$2:$A$326</definedName>
    <definedName name="dimosSNnai">ΤΚ!$K$2:$K$326</definedName>
    <definedName name="Direction_">Lists!$O$3:$O$4</definedName>
    <definedName name="level.">Lists!$D$3:$D$6</definedName>
    <definedName name="maxDown">Lists!$Q$3:$Q$13</definedName>
    <definedName name="maxUp">Lists!$R$3:$R$13</definedName>
    <definedName name="MeasTK">ΤΚ!$M$2:$M$326</definedName>
    <definedName name="Operators.">Lists!$E$3:$E$7</definedName>
    <definedName name="OrchardID">ΤΚ!$G$2:$G$326</definedName>
    <definedName name="OrchardIDnai">ΤΚ!$N$2:$N$326</definedName>
    <definedName name="OrchardName">ΤΚ!$F$2:$F$326</definedName>
    <definedName name="OrchardNameNai">ΤΚ!$O$2:$O$326</definedName>
    <definedName name="Packet">Lists!$Q$3:$Q$4</definedName>
    <definedName name="Perifereies.">ΠΕΡΙΦΕΡΕΙΑ!$A$2:$A$14</definedName>
    <definedName name="Period.">Lists!$B$3:$B$23</definedName>
    <definedName name="POTS">Lists!$K$3:$K$7</definedName>
    <definedName name="Quality">Lists!$I$3:$I$7</definedName>
    <definedName name="Semester">Lists!$C$3:$C$4</definedName>
    <definedName name="ServiceType">Lists!$L$3:$L$4</definedName>
    <definedName name="SpeedValue">Lists!$N$3:$N$6</definedName>
    <definedName name="SubmitKML">Lists!$H$3:$H$4</definedName>
    <definedName name="submitQI">Lists!$A$3:$A$4</definedName>
    <definedName name="Terminals">Lists!$K$3:$K$6</definedName>
    <definedName name="TK">ΤΚ!$M$2:$M$326</definedName>
    <definedName name="TK1T">ΤΚ!$M$2:$M$326</definedName>
    <definedName name="Άμεση">Lists!$L$3:$L$4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 r="O17" i="1"/>
  <c r="O16" i="1"/>
  <c r="O15" i="1"/>
  <c r="O14" i="1"/>
  <c r="O13" i="1"/>
  <c r="I4" i="1" l="1"/>
  <c r="I18" i="1"/>
  <c r="I17" i="1"/>
  <c r="I16" i="1"/>
  <c r="I15" i="1"/>
  <c r="I14" i="1"/>
  <c r="I13" i="1"/>
  <c r="I12" i="1"/>
  <c r="I11" i="1"/>
  <c r="I10" i="1" l="1"/>
  <c r="I9" i="1"/>
  <c r="I8" i="1"/>
  <c r="I7" i="1"/>
  <c r="I6" i="1"/>
  <c r="I5" i="1"/>
  <c r="I3" i="1"/>
  <c r="G5" i="8" l="1"/>
  <c r="G10" i="8" s="1"/>
  <c r="C6" i="9" l="1"/>
  <c r="C5" i="9"/>
  <c r="C4" i="9"/>
  <c r="T16" i="12" l="1"/>
  <c r="T15" i="12"/>
  <c r="T14" i="12"/>
  <c r="T13" i="12"/>
  <c r="T12" i="12"/>
  <c r="T11" i="12"/>
  <c r="T10" i="12"/>
  <c r="T9" i="12"/>
  <c r="T8" i="12"/>
  <c r="T7" i="12"/>
  <c r="T6" i="12"/>
  <c r="T5" i="12"/>
  <c r="T4" i="12"/>
  <c r="T3" i="12"/>
  <c r="P4" i="11" l="1"/>
  <c r="P16" i="11"/>
  <c r="P15" i="11"/>
  <c r="P14" i="11"/>
  <c r="P13" i="11"/>
  <c r="P12" i="11"/>
  <c r="P11" i="11"/>
  <c r="P10" i="11"/>
  <c r="P9" i="11"/>
  <c r="P8" i="11"/>
  <c r="P7" i="11"/>
  <c r="P6" i="11"/>
  <c r="P5" i="11"/>
  <c r="O3" i="7"/>
  <c r="N3" i="12" l="1"/>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D7" i="13" l="1"/>
  <c r="D6" i="13"/>
  <c r="D5" i="13"/>
  <c r="D4" i="13"/>
  <c r="D3" i="13"/>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16" i="11"/>
  <c r="E15" i="11"/>
  <c r="E14" i="11"/>
  <c r="E13" i="11"/>
  <c r="E12" i="11"/>
  <c r="E11" i="11"/>
  <c r="E10" i="11"/>
  <c r="E9" i="11"/>
  <c r="E8" i="11"/>
  <c r="E7" i="11"/>
  <c r="E6" i="11"/>
  <c r="E5" i="11"/>
  <c r="E4" i="11"/>
  <c r="E3" i="11"/>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8" i="7"/>
  <c r="E7" i="7"/>
  <c r="E6" i="7"/>
  <c r="E5" i="7"/>
  <c r="E4" i="7"/>
  <c r="E3" i="7"/>
  <c r="O16" i="11" l="1"/>
  <c r="D16" i="11" s="1"/>
  <c r="O15" i="11"/>
  <c r="D15" i="11" s="1"/>
  <c r="O14" i="11"/>
  <c r="D14" i="11" s="1"/>
  <c r="O13" i="11"/>
  <c r="D13" i="11" s="1"/>
  <c r="O12" i="11"/>
  <c r="D12" i="11" s="1"/>
  <c r="O11" i="11"/>
  <c r="D11" i="11" s="1"/>
  <c r="O10" i="11"/>
  <c r="D10" i="11" s="1"/>
  <c r="O9" i="11"/>
  <c r="D9" i="11" s="1"/>
  <c r="O8" i="11"/>
  <c r="D8" i="11" s="1"/>
  <c r="O7" i="11"/>
  <c r="D7" i="11" s="1"/>
  <c r="O6" i="11"/>
  <c r="D6" i="11" s="1"/>
  <c r="O5" i="11"/>
  <c r="D5" i="11" s="1"/>
  <c r="O4" i="11"/>
  <c r="D4" i="11" s="1"/>
  <c r="M30" i="10"/>
  <c r="M29" i="10"/>
  <c r="M28" i="10"/>
  <c r="M27" i="10"/>
  <c r="M26" i="10"/>
  <c r="M25" i="10"/>
  <c r="M24" i="10"/>
  <c r="M23" i="10"/>
  <c r="M22" i="10"/>
  <c r="M21" i="10"/>
  <c r="M20" i="10"/>
  <c r="M19" i="10"/>
  <c r="M18" i="10"/>
  <c r="M17" i="10"/>
  <c r="J8" i="7" l="1"/>
  <c r="J7" i="7"/>
  <c r="J6" i="7"/>
  <c r="J5" i="7"/>
  <c r="J4" i="7"/>
  <c r="O4" i="7" s="1"/>
  <c r="L30" i="12" l="1"/>
  <c r="T30" i="12" s="1"/>
  <c r="L29" i="12"/>
  <c r="T29" i="12" s="1"/>
  <c r="L28" i="12"/>
  <c r="T28" i="12" s="1"/>
  <c r="L27" i="12"/>
  <c r="T27" i="12" s="1"/>
  <c r="L26" i="12"/>
  <c r="T26" i="12" s="1"/>
  <c r="L25" i="12"/>
  <c r="T25" i="12" s="1"/>
  <c r="L24" i="12"/>
  <c r="T24" i="12" s="1"/>
  <c r="L23" i="12"/>
  <c r="T23" i="12" s="1"/>
  <c r="L22" i="12"/>
  <c r="T22" i="12" s="1"/>
  <c r="L21" i="12"/>
  <c r="T21" i="12" s="1"/>
  <c r="L20" i="12"/>
  <c r="T20" i="12" s="1"/>
  <c r="L19" i="12"/>
  <c r="T19" i="12" s="1"/>
  <c r="L18" i="12"/>
  <c r="T18" i="12" s="1"/>
  <c r="L17" i="12"/>
  <c r="L16" i="12"/>
  <c r="L15" i="12"/>
  <c r="L14" i="12"/>
  <c r="L13" i="12"/>
  <c r="L12" i="12"/>
  <c r="L11" i="12"/>
  <c r="L10" i="12"/>
  <c r="L9" i="12"/>
  <c r="L8" i="12"/>
  <c r="L7" i="12"/>
  <c r="L6" i="12"/>
  <c r="L5" i="12"/>
  <c r="L4" i="12"/>
  <c r="K3" i="1" l="1"/>
  <c r="K18" i="1"/>
  <c r="K17" i="1"/>
  <c r="K16" i="1"/>
  <c r="K15" i="1"/>
  <c r="K14" i="1"/>
  <c r="K13" i="1"/>
  <c r="K12" i="1"/>
  <c r="K11" i="1"/>
  <c r="K10" i="1"/>
  <c r="K9" i="1"/>
  <c r="K8" i="1"/>
  <c r="K7" i="1"/>
  <c r="K6" i="1"/>
  <c r="K5" i="1"/>
  <c r="K4" i="1"/>
  <c r="K8" i="7"/>
  <c r="K7" i="7"/>
  <c r="K6" i="7"/>
  <c r="K5" i="7"/>
  <c r="K4" i="7"/>
  <c r="K3" i="7"/>
  <c r="I8" i="7"/>
  <c r="I7" i="7"/>
  <c r="I6" i="7"/>
  <c r="I5" i="7"/>
  <c r="I4" i="7"/>
  <c r="I3" i="7"/>
  <c r="J12" i="8"/>
  <c r="J11" i="8"/>
  <c r="J10" i="8"/>
  <c r="J9" i="8"/>
  <c r="J8" i="8"/>
  <c r="J7" i="8"/>
  <c r="J6" i="8"/>
  <c r="J5" i="8"/>
  <c r="J4" i="8"/>
  <c r="J3" i="8"/>
  <c r="N29" i="10"/>
  <c r="N25" i="10"/>
  <c r="N4" i="10"/>
  <c r="N18" i="10" s="1"/>
  <c r="N5" i="10"/>
  <c r="N19" i="10" s="1"/>
  <c r="N6" i="10"/>
  <c r="N20" i="10" s="1"/>
  <c r="N7" i="10"/>
  <c r="N21" i="10" s="1"/>
  <c r="N8" i="10"/>
  <c r="N22" i="10" s="1"/>
  <c r="N9" i="10"/>
  <c r="N23" i="10" s="1"/>
  <c r="N10" i="10"/>
  <c r="N24" i="10" s="1"/>
  <c r="N11" i="10"/>
  <c r="N12" i="10"/>
  <c r="N26" i="10" s="1"/>
  <c r="N13" i="10"/>
  <c r="N27" i="10" s="1"/>
  <c r="N14" i="10"/>
  <c r="N28" i="10" s="1"/>
  <c r="N15" i="10"/>
  <c r="N16" i="10"/>
  <c r="N30" i="10" s="1"/>
  <c r="N3" i="10"/>
  <c r="N17" i="10" s="1"/>
  <c r="L8" i="10"/>
  <c r="L9" i="10"/>
  <c r="L10" i="10"/>
  <c r="L11" i="10"/>
  <c r="L12" i="10"/>
  <c r="L13" i="10"/>
  <c r="L14" i="10"/>
  <c r="L15" i="10"/>
  <c r="L16" i="10"/>
  <c r="L17" i="10"/>
  <c r="L18" i="10"/>
  <c r="T18" i="10" s="1"/>
  <c r="L19" i="10"/>
  <c r="T19" i="10" s="1"/>
  <c r="L20" i="10"/>
  <c r="T20" i="10" s="1"/>
  <c r="L21" i="10"/>
  <c r="T21" i="10" s="1"/>
  <c r="L22" i="10"/>
  <c r="T22" i="10" s="1"/>
  <c r="L23" i="10"/>
  <c r="T23" i="10" s="1"/>
  <c r="L24" i="10"/>
  <c r="T24" i="10" s="1"/>
  <c r="L25" i="10"/>
  <c r="T25" i="10" s="1"/>
  <c r="L26" i="10"/>
  <c r="T26" i="10" s="1"/>
  <c r="L27" i="10"/>
  <c r="T27" i="10" s="1"/>
  <c r="L28" i="10"/>
  <c r="T28" i="10" s="1"/>
  <c r="L29" i="10"/>
  <c r="T29" i="10" s="1"/>
  <c r="L30" i="10"/>
  <c r="T30" i="10" s="1"/>
  <c r="L4" i="10"/>
  <c r="T4" i="10" s="1"/>
  <c r="L5" i="10"/>
  <c r="L6" i="10"/>
  <c r="T6" i="10" s="1"/>
  <c r="L7" i="10"/>
  <c r="L3"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 i="10"/>
  <c r="G4" i="11"/>
  <c r="G5" i="11"/>
  <c r="G6" i="11"/>
  <c r="G7" i="11"/>
  <c r="G8" i="11"/>
  <c r="G9" i="11"/>
  <c r="G10" i="11"/>
  <c r="G11" i="11"/>
  <c r="G12" i="11"/>
  <c r="G13" i="11"/>
  <c r="G14" i="11"/>
  <c r="G15" i="11"/>
  <c r="G16" i="11"/>
  <c r="G3" i="11"/>
  <c r="K4" i="11"/>
  <c r="K5" i="11"/>
  <c r="K6" i="11"/>
  <c r="K7" i="11"/>
  <c r="K8" i="11"/>
  <c r="K9" i="11"/>
  <c r="K10" i="11"/>
  <c r="K11" i="11"/>
  <c r="K12" i="11"/>
  <c r="K13" i="11"/>
  <c r="K14" i="11"/>
  <c r="K15" i="11"/>
  <c r="K16" i="11"/>
  <c r="K3" i="11"/>
  <c r="I4" i="11"/>
  <c r="I5" i="11"/>
  <c r="I6" i="11"/>
  <c r="I7" i="11"/>
  <c r="I8" i="11"/>
  <c r="I9" i="11"/>
  <c r="I10" i="11"/>
  <c r="I11" i="11"/>
  <c r="I12" i="11"/>
  <c r="I13" i="11"/>
  <c r="I14" i="11"/>
  <c r="I15" i="11"/>
  <c r="I16" i="11"/>
  <c r="I3" i="11"/>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 i="12"/>
  <c r="I4" i="12"/>
  <c r="I5" i="12"/>
  <c r="I6" i="12"/>
  <c r="I7" i="12"/>
  <c r="I8" i="12"/>
  <c r="I9" i="12"/>
  <c r="I10" i="12"/>
  <c r="I11" i="12"/>
  <c r="I12" i="12"/>
  <c r="I13" i="12"/>
  <c r="I14" i="12"/>
  <c r="I15" i="12"/>
  <c r="I16" i="12"/>
  <c r="I18" i="12"/>
  <c r="I19" i="12"/>
  <c r="I20" i="12"/>
  <c r="I21" i="12"/>
  <c r="I22" i="12"/>
  <c r="I23" i="12"/>
  <c r="I24" i="12"/>
  <c r="I25" i="12"/>
  <c r="I26" i="12"/>
  <c r="I27" i="12"/>
  <c r="I28" i="12"/>
  <c r="I29" i="12"/>
  <c r="I30" i="12"/>
  <c r="L3" i="12"/>
  <c r="T3" i="10" l="1"/>
  <c r="T15" i="10"/>
  <c r="T11" i="10"/>
  <c r="T7" i="10"/>
  <c r="T14" i="10"/>
  <c r="T10" i="10"/>
  <c r="T13" i="10"/>
  <c r="T9" i="10"/>
  <c r="T5" i="10"/>
  <c r="T16" i="10"/>
  <c r="T12" i="10"/>
  <c r="T8" i="10"/>
  <c r="H2" i="14"/>
  <c r="H3" i="14" s="1"/>
  <c r="H4" i="14" s="1"/>
  <c r="H5" i="14" s="1"/>
  <c r="H6" i="14" s="1"/>
  <c r="H7" i="14" s="1"/>
  <c r="H8" i="14" s="1"/>
  <c r="H9" i="14" s="1"/>
  <c r="H10" i="14" s="1"/>
  <c r="H11" i="14" s="1"/>
  <c r="H12" i="14" s="1"/>
  <c r="H14" i="14" s="1"/>
  <c r="H15" i="14" s="1"/>
  <c r="F11" i="1" s="1"/>
  <c r="O11" i="1" s="1"/>
  <c r="C2" i="14"/>
  <c r="C3" i="14" s="1"/>
  <c r="C4" i="14" s="1"/>
  <c r="C5" i="14" s="1"/>
  <c r="C6" i="14" s="1"/>
  <c r="C7" i="14" s="1"/>
  <c r="C8" i="14" s="1"/>
  <c r="C9" i="14" s="1"/>
  <c r="C10" i="14" s="1"/>
  <c r="C11" i="14" s="1"/>
  <c r="C12" i="14" s="1"/>
  <c r="C14" i="14" s="1"/>
  <c r="C15" i="14" s="1"/>
  <c r="F3" i="1" s="1"/>
  <c r="O3" i="1" s="1"/>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2" i="5"/>
  <c r="A4" i="1"/>
  <c r="T3" i="13" l="1"/>
  <c r="W3" i="13" l="1"/>
  <c r="V3" i="13"/>
  <c r="U3" i="13"/>
  <c r="S16" i="10"/>
  <c r="D16" i="10" s="1"/>
  <c r="S15" i="10"/>
  <c r="D15" i="10" s="1"/>
  <c r="S14" i="10"/>
  <c r="D14" i="10" s="1"/>
  <c r="S13" i="10"/>
  <c r="D13" i="10" s="1"/>
  <c r="S12" i="10"/>
  <c r="D12" i="10" s="1"/>
  <c r="S11" i="10"/>
  <c r="D11" i="10" s="1"/>
  <c r="S9" i="10"/>
  <c r="D9" i="10" s="1"/>
  <c r="S8" i="10"/>
  <c r="D8" i="10" s="1"/>
  <c r="S7" i="10"/>
  <c r="D7" i="10" s="1"/>
  <c r="S6" i="10"/>
  <c r="X3" i="13" l="1"/>
  <c r="Y3" i="13" s="1"/>
  <c r="S3" i="13" s="1"/>
  <c r="K5" i="9"/>
  <c r="K3" i="9"/>
  <c r="Q3" i="9" l="1"/>
  <c r="N10" i="8"/>
  <c r="N5" i="8"/>
  <c r="Q5" i="9"/>
  <c r="D6" i="9" l="1"/>
  <c r="R3" i="13" l="1"/>
  <c r="C3" i="13" s="1"/>
  <c r="S16" i="12"/>
  <c r="D16" i="12" s="1"/>
  <c r="S12" i="12"/>
  <c r="D12" i="12" s="1"/>
  <c r="S8" i="12"/>
  <c r="D8" i="12" s="1"/>
  <c r="S7" i="12"/>
  <c r="D7" i="12" s="1"/>
  <c r="S3" i="12"/>
  <c r="D3" i="12" s="1"/>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S5" i="12"/>
  <c r="D5" i="12" s="1"/>
  <c r="S6" i="12"/>
  <c r="D6" i="12" s="1"/>
  <c r="S9" i="12"/>
  <c r="D9" i="12" s="1"/>
  <c r="S10" i="12"/>
  <c r="D10" i="12" s="1"/>
  <c r="S11" i="12"/>
  <c r="D11" i="12" s="1"/>
  <c r="S13" i="12"/>
  <c r="D13" i="12" s="1"/>
  <c r="S14" i="12"/>
  <c r="D14" i="12" s="1"/>
  <c r="S15" i="12"/>
  <c r="D15" i="12" s="1"/>
  <c r="S4" i="12"/>
  <c r="D4" i="12" s="1"/>
  <c r="P3" i="11"/>
  <c r="O3" i="11" s="1"/>
  <c r="D3" i="11" s="1"/>
  <c r="A16" i="11"/>
  <c r="A15" i="11"/>
  <c r="A14" i="11"/>
  <c r="A13" i="11"/>
  <c r="A12" i="11"/>
  <c r="A11" i="11"/>
  <c r="A10" i="11"/>
  <c r="A9" i="11"/>
  <c r="A8" i="11"/>
  <c r="A7" i="11"/>
  <c r="A6" i="11"/>
  <c r="A5" i="11"/>
  <c r="A4" i="11"/>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M4" i="9"/>
  <c r="N6" i="9"/>
  <c r="N5" i="9"/>
  <c r="N4" i="9"/>
  <c r="M6" i="9"/>
  <c r="L6" i="9" s="1"/>
  <c r="L5" i="9"/>
  <c r="J6" i="9"/>
  <c r="I6" i="9"/>
  <c r="J4" i="9"/>
  <c r="I4" i="9"/>
  <c r="K4" i="9" s="1"/>
  <c r="Q4" i="9" l="1"/>
  <c r="K6" i="9"/>
  <c r="Q6" i="9" s="1"/>
  <c r="A6" i="9" l="1"/>
  <c r="A5" i="9"/>
  <c r="A4" i="9"/>
  <c r="P6" i="9"/>
  <c r="P5" i="9"/>
  <c r="L3" i="9"/>
  <c r="P3" i="9" l="1"/>
  <c r="E3" i="9" s="1"/>
  <c r="N3" i="7" l="1"/>
  <c r="D3" i="7" s="1"/>
  <c r="L8" i="7"/>
  <c r="N11" i="1"/>
  <c r="N3" i="1"/>
  <c r="D3" i="1" l="1"/>
  <c r="D4" i="1" s="1"/>
  <c r="I12" i="8"/>
  <c r="N12" i="8" s="1"/>
  <c r="I11" i="8"/>
  <c r="N11" i="8" s="1"/>
  <c r="I9" i="8"/>
  <c r="N9" i="8" s="1"/>
  <c r="I8" i="8"/>
  <c r="I7" i="8"/>
  <c r="N7" i="8" s="1"/>
  <c r="I6" i="8"/>
  <c r="N6" i="8" s="1"/>
  <c r="I4" i="8"/>
  <c r="N4" i="8" s="1"/>
  <c r="I3" i="8"/>
  <c r="N3" i="8" s="1"/>
  <c r="F12" i="8" l="1"/>
  <c r="M12" i="8" s="1"/>
  <c r="F11" i="8"/>
  <c r="M11" i="8" s="1"/>
  <c r="F10" i="8"/>
  <c r="M10" i="8" s="1"/>
  <c r="F9" i="8"/>
  <c r="M9" i="8" s="1"/>
  <c r="F8" i="8"/>
  <c r="M7" i="8"/>
  <c r="M6" i="8"/>
  <c r="M5" i="8"/>
  <c r="M4" i="8"/>
  <c r="M3" i="8"/>
  <c r="K12" i="8"/>
  <c r="K11" i="8"/>
  <c r="K10" i="8"/>
  <c r="K9" i="8"/>
  <c r="K8" i="8"/>
  <c r="K7" i="8"/>
  <c r="K6" i="8"/>
  <c r="K5" i="8"/>
  <c r="K4" i="8"/>
  <c r="A12" i="8"/>
  <c r="A11" i="8"/>
  <c r="A10" i="8"/>
  <c r="A9" i="8"/>
  <c r="A8" i="8"/>
  <c r="A7" i="8"/>
  <c r="A6" i="8"/>
  <c r="A5" i="8"/>
  <c r="A4" i="8"/>
  <c r="C4" i="6"/>
  <c r="C12" i="8"/>
  <c r="C11" i="8"/>
  <c r="C10" i="8"/>
  <c r="C9" i="8"/>
  <c r="C8" i="8"/>
  <c r="C7" i="8"/>
  <c r="C6" i="8"/>
  <c r="C5" i="8"/>
  <c r="C4" i="8"/>
  <c r="H12" i="8"/>
  <c r="H11" i="8"/>
  <c r="H10" i="8"/>
  <c r="H9" i="8"/>
  <c r="H4" i="8"/>
  <c r="H5" i="8"/>
  <c r="H6" i="8"/>
  <c r="B3" i="9" l="1"/>
  <c r="C14" i="6"/>
  <c r="B3" i="13"/>
  <c r="B3" i="11"/>
  <c r="B3" i="12"/>
  <c r="B3" i="10"/>
  <c r="B4" i="10" s="1"/>
  <c r="B3" i="7"/>
  <c r="B3" i="1"/>
  <c r="B3" i="8"/>
  <c r="B12" i="8" s="1"/>
  <c r="N8" i="8"/>
  <c r="M8" i="8" s="1"/>
  <c r="B5" i="8"/>
  <c r="B9" i="8"/>
  <c r="B6" i="8"/>
  <c r="B10" i="8"/>
  <c r="B11" i="8"/>
  <c r="B7" i="8"/>
  <c r="B4" i="8"/>
  <c r="B8" i="8"/>
  <c r="H7" i="8"/>
  <c r="B4" i="11" l="1"/>
  <c r="B10" i="11"/>
  <c r="B14" i="11"/>
  <c r="B5" i="11"/>
  <c r="B15" i="11"/>
  <c r="B11" i="11"/>
  <c r="B9" i="11"/>
  <c r="B16" i="11"/>
  <c r="B7" i="11"/>
  <c r="B6" i="11"/>
  <c r="B12" i="11"/>
  <c r="B13" i="11"/>
  <c r="B8" i="11"/>
  <c r="B5" i="12"/>
  <c r="B20" i="12"/>
  <c r="B12" i="12"/>
  <c r="B23" i="12"/>
  <c r="B7" i="12"/>
  <c r="B18" i="12"/>
  <c r="B29" i="12"/>
  <c r="B13" i="12"/>
  <c r="B14" i="12"/>
  <c r="B9" i="12"/>
  <c r="B28" i="12"/>
  <c r="B27" i="12"/>
  <c r="B22" i="12"/>
  <c r="B6" i="12"/>
  <c r="B4" i="12"/>
  <c r="B24" i="12"/>
  <c r="B19" i="12"/>
  <c r="B30" i="12"/>
  <c r="B25" i="12"/>
  <c r="B16" i="12"/>
  <c r="B8" i="12"/>
  <c r="B15" i="12"/>
  <c r="B26" i="12"/>
  <c r="B10" i="12"/>
  <c r="B21" i="12"/>
  <c r="B11" i="12"/>
  <c r="B17" i="12"/>
  <c r="B6" i="9"/>
  <c r="B5" i="9"/>
  <c r="B4" i="9"/>
  <c r="A4" i="13"/>
  <c r="B4" i="13"/>
  <c r="F4" i="13"/>
  <c r="G4" i="13"/>
  <c r="T4" i="13" s="1"/>
  <c r="A5" i="13"/>
  <c r="B5" i="13"/>
  <c r="F5" i="13"/>
  <c r="G5" i="13"/>
  <c r="T5" i="13" s="1"/>
  <c r="A6" i="13"/>
  <c r="B6" i="13"/>
  <c r="F6" i="13"/>
  <c r="G6" i="13"/>
  <c r="T6" i="13" s="1"/>
  <c r="A7" i="13"/>
  <c r="B7" i="13"/>
  <c r="F7" i="13"/>
  <c r="G7" i="13"/>
  <c r="T7" i="13" s="1"/>
  <c r="Q30" i="10"/>
  <c r="P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Q14" i="10"/>
  <c r="P14" i="10"/>
  <c r="Q13" i="10"/>
  <c r="P13" i="10"/>
  <c r="Q12" i="10"/>
  <c r="P12" i="10"/>
  <c r="Q11" i="10"/>
  <c r="P11" i="10"/>
  <c r="Q10" i="10"/>
  <c r="P10" i="10"/>
  <c r="Q9" i="10"/>
  <c r="P9" i="10"/>
  <c r="Q8" i="10"/>
  <c r="P8" i="10"/>
  <c r="Q7" i="10"/>
  <c r="P7" i="10"/>
  <c r="Q6" i="10"/>
  <c r="P6" i="10"/>
  <c r="Q5" i="10"/>
  <c r="P5" i="10"/>
  <c r="Q4" i="10"/>
  <c r="P4" i="10"/>
  <c r="L4" i="9"/>
  <c r="L7" i="7"/>
  <c r="L6" i="7"/>
  <c r="L5" i="7"/>
  <c r="L4" i="7"/>
  <c r="U4" i="13" l="1"/>
  <c r="V4" i="13"/>
  <c r="W4" i="13"/>
  <c r="W7" i="13"/>
  <c r="U7" i="13"/>
  <c r="V7" i="13"/>
  <c r="V5" i="13"/>
  <c r="U5" i="13"/>
  <c r="W5" i="13"/>
  <c r="W6" i="13"/>
  <c r="V6" i="13"/>
  <c r="U6" i="13"/>
  <c r="Q30" i="12"/>
  <c r="P30" i="12"/>
  <c r="O30" i="12"/>
  <c r="Q29" i="12"/>
  <c r="P29" i="12"/>
  <c r="O29" i="12"/>
  <c r="Q28" i="12"/>
  <c r="P28" i="12"/>
  <c r="O28" i="12"/>
  <c r="Q27" i="12"/>
  <c r="P27" i="12"/>
  <c r="O27" i="12"/>
  <c r="Q26" i="12"/>
  <c r="P26" i="12"/>
  <c r="O26" i="12"/>
  <c r="Q25" i="12"/>
  <c r="P25" i="12"/>
  <c r="O25" i="12"/>
  <c r="Q24" i="12"/>
  <c r="P24" i="12"/>
  <c r="O24" i="12"/>
  <c r="Q23" i="12"/>
  <c r="P23" i="12"/>
  <c r="O23" i="12"/>
  <c r="Q22" i="12"/>
  <c r="P22" i="12"/>
  <c r="O22" i="12"/>
  <c r="Q21" i="12"/>
  <c r="P21" i="12"/>
  <c r="O21" i="12"/>
  <c r="Q20" i="12"/>
  <c r="P20" i="12"/>
  <c r="O20" i="12"/>
  <c r="Q19" i="12"/>
  <c r="P19" i="12"/>
  <c r="O19" i="12"/>
  <c r="Q18" i="12"/>
  <c r="P18" i="12"/>
  <c r="O18" i="12"/>
  <c r="Q17" i="12"/>
  <c r="P17" i="12"/>
  <c r="O17" i="12"/>
  <c r="Q16" i="12"/>
  <c r="P16" i="12"/>
  <c r="O16" i="12"/>
  <c r="Q15" i="12"/>
  <c r="P15" i="12"/>
  <c r="O15" i="12"/>
  <c r="Q14" i="12"/>
  <c r="P14" i="12"/>
  <c r="O14" i="12"/>
  <c r="Q13" i="12"/>
  <c r="P13" i="12"/>
  <c r="O13" i="12"/>
  <c r="Q12" i="12"/>
  <c r="P12" i="12"/>
  <c r="O12" i="12"/>
  <c r="Q11" i="12"/>
  <c r="P11" i="12"/>
  <c r="O11" i="12"/>
  <c r="Q10" i="12"/>
  <c r="P10" i="12"/>
  <c r="O10" i="12"/>
  <c r="Q9" i="12"/>
  <c r="P9" i="12"/>
  <c r="O9" i="12"/>
  <c r="Q8" i="12"/>
  <c r="P8" i="12"/>
  <c r="O8" i="12"/>
  <c r="Q7" i="12"/>
  <c r="P7" i="12"/>
  <c r="O7" i="12"/>
  <c r="Q6" i="12"/>
  <c r="P6" i="12"/>
  <c r="O6" i="12"/>
  <c r="Q5" i="12"/>
  <c r="P5" i="12"/>
  <c r="O5" i="12"/>
  <c r="Q4" i="12"/>
  <c r="P4" i="12"/>
  <c r="O4" i="12"/>
  <c r="X4" i="13" l="1"/>
  <c r="Y4" i="13" s="1"/>
  <c r="X7" i="13"/>
  <c r="Y7" i="13" s="1"/>
  <c r="X5" i="13"/>
  <c r="Y5" i="13" s="1"/>
  <c r="X6" i="13"/>
  <c r="Y6" i="13" s="1"/>
  <c r="L18" i="1"/>
  <c r="L17" i="1"/>
  <c r="L16" i="1"/>
  <c r="L15" i="1"/>
  <c r="L14" i="1"/>
  <c r="L13" i="1"/>
  <c r="L12" i="1"/>
  <c r="L11" i="1"/>
  <c r="L10" i="1"/>
  <c r="L9" i="1"/>
  <c r="L8" i="1"/>
  <c r="L7" i="1"/>
  <c r="L6" i="1"/>
  <c r="L5" i="1"/>
  <c r="L4" i="1"/>
  <c r="S6" i="13" l="1"/>
  <c r="R6" i="13" s="1"/>
  <c r="C6" i="13" s="1"/>
  <c r="S7" i="13"/>
  <c r="R7" i="13" s="1"/>
  <c r="C7" i="13" s="1"/>
  <c r="S5" i="13"/>
  <c r="R5" i="13" s="1"/>
  <c r="C5" i="13" s="1"/>
  <c r="S4" i="13"/>
  <c r="R4" i="13" s="1"/>
  <c r="A11" i="1"/>
  <c r="B18" i="1"/>
  <c r="C11" i="1"/>
  <c r="C12" i="1"/>
  <c r="F18" i="1"/>
  <c r="N18" i="1" s="1"/>
  <c r="C18" i="1"/>
  <c r="A18" i="1"/>
  <c r="F17" i="1"/>
  <c r="N17" i="1" s="1"/>
  <c r="C17" i="1"/>
  <c r="A17" i="1"/>
  <c r="F16" i="1"/>
  <c r="N16" i="1" s="1"/>
  <c r="C16" i="1"/>
  <c r="A16" i="1"/>
  <c r="F15" i="1"/>
  <c r="N15" i="1" s="1"/>
  <c r="C15" i="1"/>
  <c r="A15" i="1"/>
  <c r="F14" i="1"/>
  <c r="N14" i="1" s="1"/>
  <c r="C14" i="1"/>
  <c r="A14" i="1"/>
  <c r="F13" i="1"/>
  <c r="N13" i="1" s="1"/>
  <c r="C13" i="1"/>
  <c r="A13" i="1"/>
  <c r="F12" i="1"/>
  <c r="A12" i="1"/>
  <c r="O12" i="1" l="1"/>
  <c r="N12" i="1" s="1"/>
  <c r="C4" i="13"/>
  <c r="C23" i="6"/>
  <c r="B15" i="1"/>
  <c r="B12" i="1"/>
  <c r="B17" i="1"/>
  <c r="B13" i="1"/>
  <c r="B11" i="1"/>
  <c r="B14" i="1"/>
  <c r="B16" i="1"/>
  <c r="C21" i="6" l="1"/>
  <c r="F4" i="1"/>
  <c r="O4" i="1" l="1"/>
  <c r="N4" i="1" s="1"/>
  <c r="D5" i="1" s="1"/>
  <c r="N4" i="7"/>
  <c r="D4" i="7" s="1"/>
  <c r="S30" i="12"/>
  <c r="D30" i="12" s="1"/>
  <c r="S29" i="12"/>
  <c r="D29" i="12" s="1"/>
  <c r="S28" i="12"/>
  <c r="D28" i="12" s="1"/>
  <c r="S27" i="12"/>
  <c r="D27" i="12" s="1"/>
  <c r="S26" i="12"/>
  <c r="D26" i="12" s="1"/>
  <c r="S25" i="12"/>
  <c r="D25" i="12" s="1"/>
  <c r="S24" i="12"/>
  <c r="D24" i="12" s="1"/>
  <c r="S23" i="12"/>
  <c r="D23" i="12" s="1"/>
  <c r="S22" i="12"/>
  <c r="D22" i="12" s="1"/>
  <c r="S21" i="12"/>
  <c r="D21" i="12" s="1"/>
  <c r="S20" i="12"/>
  <c r="D20" i="12" s="1"/>
  <c r="T17"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S19" i="12" l="1"/>
  <c r="D19" i="12" s="1"/>
  <c r="S18" i="12"/>
  <c r="D18" i="12" s="1"/>
  <c r="S17" i="12"/>
  <c r="F8" i="1"/>
  <c r="O8" i="1" s="1"/>
  <c r="F5" i="1"/>
  <c r="F9" i="1"/>
  <c r="F6" i="1"/>
  <c r="F10" i="1"/>
  <c r="F7" i="1"/>
  <c r="O7" i="1" s="1"/>
  <c r="M16" i="11"/>
  <c r="L16" i="11"/>
  <c r="C16" i="11"/>
  <c r="M15" i="11"/>
  <c r="L15" i="11"/>
  <c r="C15" i="11"/>
  <c r="M14" i="11"/>
  <c r="L14" i="11"/>
  <c r="C14" i="11"/>
  <c r="M13" i="11"/>
  <c r="L13" i="11"/>
  <c r="C13" i="11"/>
  <c r="M12" i="11"/>
  <c r="L12" i="11"/>
  <c r="C12" i="11"/>
  <c r="M11" i="11"/>
  <c r="L11" i="11"/>
  <c r="C11" i="11"/>
  <c r="M10" i="11"/>
  <c r="L10" i="11"/>
  <c r="C10" i="11"/>
  <c r="M9" i="11"/>
  <c r="L9" i="11"/>
  <c r="C9" i="11"/>
  <c r="M8" i="11"/>
  <c r="L8" i="11"/>
  <c r="C8" i="11"/>
  <c r="M7" i="11"/>
  <c r="L7" i="11"/>
  <c r="C7" i="11"/>
  <c r="M6" i="11"/>
  <c r="L6" i="11"/>
  <c r="C6" i="11"/>
  <c r="M5" i="11"/>
  <c r="L5" i="11"/>
  <c r="C5" i="11"/>
  <c r="M4" i="11"/>
  <c r="L4" i="11"/>
  <c r="C4" i="11"/>
  <c r="C22" i="6" l="1"/>
  <c r="D17" i="12"/>
  <c r="N8" i="1"/>
  <c r="D9" i="1" s="1"/>
  <c r="O9" i="1"/>
  <c r="N9" i="1" s="1"/>
  <c r="D10" i="1" s="1"/>
  <c r="O10" i="1"/>
  <c r="N10" i="1" s="1"/>
  <c r="O6" i="1"/>
  <c r="N6" i="1" s="1"/>
  <c r="D7" i="1" s="1"/>
  <c r="N7" i="1"/>
  <c r="D8" i="1" s="1"/>
  <c r="O5" i="1"/>
  <c r="N5" i="1" s="1"/>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4" i="10"/>
  <c r="S30" i="10"/>
  <c r="D30" i="10" s="1"/>
  <c r="S29" i="10"/>
  <c r="D29" i="10" s="1"/>
  <c r="S28" i="10"/>
  <c r="D28" i="10" s="1"/>
  <c r="S27" i="10"/>
  <c r="D27" i="10" s="1"/>
  <c r="S26" i="10"/>
  <c r="D26" i="10" s="1"/>
  <c r="S25" i="10"/>
  <c r="D25" i="10" s="1"/>
  <c r="S23" i="10"/>
  <c r="D23" i="10" s="1"/>
  <c r="S22" i="10"/>
  <c r="D22" i="10" s="1"/>
  <c r="S21" i="10"/>
  <c r="D21" i="10" s="1"/>
  <c r="S20" i="10"/>
  <c r="D20" i="10" s="1"/>
  <c r="S18" i="10"/>
  <c r="D18" i="10" s="1"/>
  <c r="T17" i="10"/>
  <c r="S17" i="10" s="1"/>
  <c r="D17" i="10" s="1"/>
  <c r="S10" i="10"/>
  <c r="D10" i="10" s="1"/>
  <c r="S4" i="10"/>
  <c r="D4" i="10" s="1"/>
  <c r="D6" i="1" l="1"/>
  <c r="C16" i="6"/>
  <c r="S3" i="10"/>
  <c r="S19" i="10"/>
  <c r="D19" i="10" s="1"/>
  <c r="S5" i="10"/>
  <c r="D5" i="10" s="1"/>
  <c r="S24" i="10"/>
  <c r="D24" i="10" s="1"/>
  <c r="D6" i="10" l="1"/>
  <c r="D3" i="10"/>
  <c r="C4" i="10"/>
  <c r="B5" i="10"/>
  <c r="C5" i="10"/>
  <c r="B6" i="10"/>
  <c r="C6" i="10"/>
  <c r="B7" i="10"/>
  <c r="C7" i="10"/>
  <c r="B8" i="10"/>
  <c r="C8" i="10"/>
  <c r="B9" i="10"/>
  <c r="C9" i="10"/>
  <c r="B10" i="10"/>
  <c r="C10" i="10"/>
  <c r="B11" i="10"/>
  <c r="C11" i="10"/>
  <c r="B12" i="10"/>
  <c r="C12" i="10"/>
  <c r="B13" i="10"/>
  <c r="C13" i="10"/>
  <c r="B14" i="10"/>
  <c r="C14" i="10"/>
  <c r="B15" i="10"/>
  <c r="C15" i="10"/>
  <c r="B16" i="10"/>
  <c r="C16" i="10"/>
  <c r="B17" i="10"/>
  <c r="C17" i="10"/>
  <c r="B18" i="10"/>
  <c r="C18" i="10"/>
  <c r="B19" i="10"/>
  <c r="C19" i="10"/>
  <c r="B20" i="10"/>
  <c r="C20" i="10"/>
  <c r="B21" i="10"/>
  <c r="C21" i="10"/>
  <c r="B22" i="10"/>
  <c r="C22" i="10"/>
  <c r="B23" i="10"/>
  <c r="C23" i="10"/>
  <c r="B24" i="10"/>
  <c r="C24" i="10"/>
  <c r="B25" i="10"/>
  <c r="C25" i="10"/>
  <c r="B26" i="10"/>
  <c r="C26" i="10"/>
  <c r="B27" i="10"/>
  <c r="C27" i="10"/>
  <c r="B28" i="10"/>
  <c r="C28" i="10"/>
  <c r="B29" i="10"/>
  <c r="C29" i="10"/>
  <c r="B30" i="10"/>
  <c r="C30" i="10"/>
  <c r="C20" i="6" l="1"/>
  <c r="P4" i="9"/>
  <c r="E4" i="9" s="1"/>
  <c r="C19" i="6" l="1"/>
  <c r="C18" i="6"/>
  <c r="O8" i="7" l="1"/>
  <c r="B8" i="7"/>
  <c r="A8" i="7"/>
  <c r="O7" i="7"/>
  <c r="B7" i="7"/>
  <c r="A7" i="7"/>
  <c r="O6" i="7"/>
  <c r="B6" i="7"/>
  <c r="A6" i="7"/>
  <c r="O5" i="7"/>
  <c r="B5" i="7"/>
  <c r="A5" i="7"/>
  <c r="B4" i="7"/>
  <c r="A4" i="7"/>
  <c r="N6" i="7" l="1"/>
  <c r="D6" i="7" s="1"/>
  <c r="N8" i="7"/>
  <c r="D8" i="7" s="1"/>
  <c r="N5" i="7"/>
  <c r="D5" i="7" s="1"/>
  <c r="N7" i="7"/>
  <c r="D7" i="7" s="1"/>
  <c r="C17" i="6" l="1"/>
  <c r="C15" i="6"/>
  <c r="C10" i="1"/>
  <c r="C9" i="1"/>
  <c r="C8" i="1"/>
  <c r="C7" i="1"/>
  <c r="C6" i="1"/>
  <c r="C5" i="1"/>
  <c r="C4" i="1"/>
  <c r="B10" i="1"/>
  <c r="B9" i="1"/>
  <c r="B8" i="1"/>
  <c r="B7" i="1"/>
  <c r="B6" i="1"/>
  <c r="B5" i="1"/>
  <c r="B4" i="1"/>
  <c r="A10" i="1"/>
  <c r="A9" i="1"/>
  <c r="A8" i="1"/>
  <c r="A7" i="1"/>
  <c r="A6" i="1"/>
  <c r="A5" i="1"/>
  <c r="I326" i="5" l="1"/>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G3" i="4" l="1"/>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7" i="4"/>
  <c r="H87" i="4" s="1"/>
  <c r="G88" i="4"/>
  <c r="H88" i="4" s="1"/>
  <c r="G89" i="4"/>
  <c r="H89" i="4" s="1"/>
  <c r="G90" i="4"/>
  <c r="H90" i="4" s="1"/>
  <c r="G91" i="4"/>
  <c r="H91" i="4" s="1"/>
  <c r="G92" i="4"/>
  <c r="H92" i="4" s="1"/>
  <c r="G93" i="4"/>
  <c r="H93"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H166" i="4" s="1"/>
  <c r="G167" i="4"/>
  <c r="H167" i="4" s="1"/>
  <c r="G168" i="4"/>
  <c r="H168" i="4" s="1"/>
  <c r="G169" i="4"/>
  <c r="H169" i="4" s="1"/>
  <c r="G170" i="4"/>
  <c r="H170" i="4" s="1"/>
  <c r="G171" i="4"/>
  <c r="H171" i="4" s="1"/>
  <c r="G172" i="4"/>
  <c r="H172" i="4" s="1"/>
  <c r="G173" i="4"/>
  <c r="H173" i="4" s="1"/>
  <c r="G174" i="4"/>
  <c r="H174" i="4" s="1"/>
  <c r="G175" i="4"/>
  <c r="H175" i="4" s="1"/>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s="1"/>
  <c r="G188" i="4"/>
  <c r="H188" i="4" s="1"/>
  <c r="G189" i="4"/>
  <c r="H189" i="4" s="1"/>
  <c r="G190" i="4"/>
  <c r="H190" i="4" s="1"/>
  <c r="G191" i="4"/>
  <c r="H191" i="4" s="1"/>
  <c r="G192" i="4"/>
  <c r="H192" i="4" s="1"/>
  <c r="G193" i="4"/>
  <c r="H193" i="4" s="1"/>
  <c r="G194" i="4"/>
  <c r="H194" i="4" s="1"/>
  <c r="G195" i="4"/>
  <c r="H195" i="4" s="1"/>
  <c r="G196" i="4"/>
  <c r="H196" i="4" s="1"/>
  <c r="G197" i="4"/>
  <c r="H197" i="4" s="1"/>
  <c r="G198" i="4"/>
  <c r="H198" i="4" s="1"/>
  <c r="G199" i="4"/>
  <c r="H199" i="4" s="1"/>
  <c r="G200" i="4"/>
  <c r="H200" i="4" s="1"/>
  <c r="G201" i="4"/>
  <c r="H201" i="4" s="1"/>
  <c r="G202" i="4"/>
  <c r="H202" i="4" s="1"/>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s="1"/>
  <c r="G215" i="4"/>
  <c r="H215" i="4" s="1"/>
  <c r="G216" i="4"/>
  <c r="H216" i="4" s="1"/>
  <c r="G217" i="4"/>
  <c r="H217" i="4" s="1"/>
  <c r="G218" i="4"/>
  <c r="H218" i="4" s="1"/>
  <c r="G219" i="4"/>
  <c r="H219" i="4" s="1"/>
  <c r="G220" i="4"/>
  <c r="H220" i="4" s="1"/>
  <c r="G221" i="4"/>
  <c r="H221" i="4" s="1"/>
  <c r="G222" i="4"/>
  <c r="H222" i="4" s="1"/>
  <c r="G223" i="4"/>
  <c r="H223" i="4" s="1"/>
  <c r="G224" i="4"/>
  <c r="H224" i="4" s="1"/>
  <c r="G225" i="4"/>
  <c r="H225" i="4" s="1"/>
  <c r="G226" i="4"/>
  <c r="H226" i="4" s="1"/>
  <c r="G227" i="4"/>
  <c r="H227" i="4" s="1"/>
  <c r="G228" i="4"/>
  <c r="H228" i="4" s="1"/>
  <c r="G229" i="4"/>
  <c r="H229" i="4" s="1"/>
  <c r="G230" i="4"/>
  <c r="H230" i="4" s="1"/>
  <c r="G231" i="4"/>
  <c r="H231" i="4" s="1"/>
  <c r="G232" i="4"/>
  <c r="H232" i="4" s="1"/>
  <c r="G233" i="4"/>
  <c r="H233" i="4" s="1"/>
  <c r="G234" i="4"/>
  <c r="H234" i="4" s="1"/>
  <c r="G235" i="4"/>
  <c r="H235" i="4" s="1"/>
  <c r="G236" i="4"/>
  <c r="H236" i="4" s="1"/>
  <c r="G237" i="4"/>
  <c r="H237" i="4" s="1"/>
  <c r="G238" i="4"/>
  <c r="H238" i="4" s="1"/>
  <c r="G239" i="4"/>
  <c r="H239" i="4" s="1"/>
  <c r="G240" i="4"/>
  <c r="H240" i="4" s="1"/>
  <c r="G241" i="4"/>
  <c r="H241" i="4" s="1"/>
  <c r="G242" i="4"/>
  <c r="H242" i="4" s="1"/>
  <c r="G243" i="4"/>
  <c r="H243" i="4" s="1"/>
  <c r="G244" i="4"/>
  <c r="H244" i="4"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278" i="4"/>
  <c r="H278" i="4" s="1"/>
  <c r="G279" i="4"/>
  <c r="H279" i="4" s="1"/>
  <c r="G280" i="4"/>
  <c r="H280" i="4" s="1"/>
  <c r="G281" i="4"/>
  <c r="H281" i="4" s="1"/>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s="1"/>
  <c r="G296" i="4"/>
  <c r="H296" i="4" s="1"/>
  <c r="G297" i="4"/>
  <c r="H297" i="4" s="1"/>
  <c r="G298" i="4"/>
  <c r="H298" i="4" s="1"/>
  <c r="G299" i="4"/>
  <c r="H299" i="4" s="1"/>
  <c r="G300" i="4"/>
  <c r="H300" i="4" s="1"/>
  <c r="G301" i="4"/>
  <c r="H301" i="4" s="1"/>
  <c r="G302" i="4"/>
  <c r="H302" i="4" s="1"/>
  <c r="G303" i="4"/>
  <c r="H303" i="4" s="1"/>
  <c r="G304" i="4"/>
  <c r="H304" i="4" s="1"/>
  <c r="G305" i="4"/>
  <c r="H305" i="4" s="1"/>
  <c r="G306" i="4"/>
  <c r="H306" i="4" s="1"/>
  <c r="G307" i="4"/>
  <c r="H307" i="4" s="1"/>
  <c r="G308" i="4"/>
  <c r="H308" i="4" s="1"/>
  <c r="G309" i="4"/>
  <c r="H309" i="4" s="1"/>
  <c r="G310" i="4"/>
  <c r="H310" i="4" s="1"/>
  <c r="G311" i="4"/>
  <c r="H311" i="4" s="1"/>
  <c r="G312" i="4"/>
  <c r="H312" i="4" s="1"/>
  <c r="G313" i="4"/>
  <c r="H313" i="4" s="1"/>
  <c r="G314" i="4"/>
  <c r="H314" i="4" s="1"/>
  <c r="G315" i="4"/>
  <c r="H315" i="4" s="1"/>
  <c r="G316" i="4"/>
  <c r="H316" i="4" s="1"/>
  <c r="G317" i="4"/>
  <c r="H317" i="4" s="1"/>
  <c r="G318" i="4"/>
  <c r="H318" i="4" s="1"/>
  <c r="G319" i="4"/>
  <c r="H319" i="4" s="1"/>
  <c r="G320" i="4"/>
  <c r="H320" i="4" s="1"/>
  <c r="G321" i="4"/>
  <c r="H321" i="4" s="1"/>
  <c r="G322" i="4"/>
  <c r="H322" i="4" s="1"/>
  <c r="G323" i="4"/>
  <c r="H323" i="4" s="1"/>
  <c r="G324" i="4"/>
  <c r="H324" i="4" s="1"/>
  <c r="G325" i="4"/>
  <c r="H325" i="4" s="1"/>
  <c r="G326" i="4"/>
  <c r="H326" i="4" s="1"/>
  <c r="G2" i="4"/>
  <c r="H2" i="4" s="1"/>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I93" i="4" l="1"/>
  <c r="J93" i="4" s="1"/>
  <c r="I94" i="4"/>
  <c r="J94" i="4" s="1"/>
  <c r="I91" i="4"/>
  <c r="I95" i="4"/>
  <c r="I92" i="4"/>
  <c r="I3" i="4"/>
  <c r="I7" i="4"/>
  <c r="I11" i="4"/>
  <c r="I15" i="4"/>
  <c r="I4" i="4"/>
  <c r="I5" i="4"/>
  <c r="I10" i="4"/>
  <c r="I16" i="4"/>
  <c r="I20" i="4"/>
  <c r="I24" i="4"/>
  <c r="I28" i="4"/>
  <c r="I32" i="4"/>
  <c r="I36" i="4"/>
  <c r="I40" i="4"/>
  <c r="I44" i="4"/>
  <c r="I48" i="4"/>
  <c r="I52" i="4"/>
  <c r="I56" i="4"/>
  <c r="I60" i="4"/>
  <c r="I64" i="4"/>
  <c r="I68" i="4"/>
  <c r="I72" i="4"/>
  <c r="I76" i="4"/>
  <c r="I80" i="4"/>
  <c r="I84" i="4"/>
  <c r="I88" i="4"/>
  <c r="I97" i="4"/>
  <c r="I101" i="4"/>
  <c r="I105" i="4"/>
  <c r="I109" i="4"/>
  <c r="I113" i="4"/>
  <c r="I117" i="4"/>
  <c r="I121" i="4"/>
  <c r="I125" i="4"/>
  <c r="I129" i="4"/>
  <c r="I133" i="4"/>
  <c r="I137" i="4"/>
  <c r="I141" i="4"/>
  <c r="I145" i="4"/>
  <c r="I149" i="4"/>
  <c r="I153" i="4"/>
  <c r="I157" i="4"/>
  <c r="I161" i="4"/>
  <c r="I165" i="4"/>
  <c r="I169" i="4"/>
  <c r="I173" i="4"/>
  <c r="I177" i="4"/>
  <c r="I181" i="4"/>
  <c r="I185" i="4"/>
  <c r="I189" i="4"/>
  <c r="I193" i="4"/>
  <c r="I197" i="4"/>
  <c r="I201" i="4"/>
  <c r="I205" i="4"/>
  <c r="I209" i="4"/>
  <c r="I213" i="4"/>
  <c r="I217" i="4"/>
  <c r="I221" i="4"/>
  <c r="I225" i="4"/>
  <c r="I229" i="4"/>
  <c r="I233" i="4"/>
  <c r="I237" i="4"/>
  <c r="I241" i="4"/>
  <c r="I245" i="4"/>
  <c r="I249" i="4"/>
  <c r="I253" i="4"/>
  <c r="I257" i="4"/>
  <c r="I261" i="4"/>
  <c r="I265" i="4"/>
  <c r="I269" i="4"/>
  <c r="I6" i="4"/>
  <c r="I12" i="4"/>
  <c r="I17" i="4"/>
  <c r="I21" i="4"/>
  <c r="I25" i="4"/>
  <c r="I29" i="4"/>
  <c r="I33" i="4"/>
  <c r="I37" i="4"/>
  <c r="I41" i="4"/>
  <c r="I45" i="4"/>
  <c r="I49" i="4"/>
  <c r="I53" i="4"/>
  <c r="I57" i="4"/>
  <c r="I61" i="4"/>
  <c r="I65" i="4"/>
  <c r="I69" i="4"/>
  <c r="I73" i="4"/>
  <c r="I77" i="4"/>
  <c r="I81" i="4"/>
  <c r="I85" i="4"/>
  <c r="I89" i="4"/>
  <c r="I98" i="4"/>
  <c r="I102" i="4"/>
  <c r="I106" i="4"/>
  <c r="I110" i="4"/>
  <c r="I114" i="4"/>
  <c r="I118" i="4"/>
  <c r="I122" i="4"/>
  <c r="I126" i="4"/>
  <c r="I130" i="4"/>
  <c r="I134" i="4"/>
  <c r="I138" i="4"/>
  <c r="I142" i="4"/>
  <c r="I146" i="4"/>
  <c r="I150" i="4"/>
  <c r="I154" i="4"/>
  <c r="I158" i="4"/>
  <c r="I162" i="4"/>
  <c r="I166" i="4"/>
  <c r="I170" i="4"/>
  <c r="I174" i="4"/>
  <c r="I178" i="4"/>
  <c r="I182" i="4"/>
  <c r="I186" i="4"/>
  <c r="I190" i="4"/>
  <c r="I194" i="4"/>
  <c r="I198" i="4"/>
  <c r="I202" i="4"/>
  <c r="I206" i="4"/>
  <c r="I210" i="4"/>
  <c r="I214" i="4"/>
  <c r="I218" i="4"/>
  <c r="I222" i="4"/>
  <c r="I226" i="4"/>
  <c r="I230" i="4"/>
  <c r="I234" i="4"/>
  <c r="I238" i="4"/>
  <c r="I242" i="4"/>
  <c r="I246" i="4"/>
  <c r="I250" i="4"/>
  <c r="I254" i="4"/>
  <c r="I258" i="4"/>
  <c r="I262" i="4"/>
  <c r="I266" i="4"/>
  <c r="I8" i="4"/>
  <c r="I13" i="4"/>
  <c r="I18" i="4"/>
  <c r="I22" i="4"/>
  <c r="I26" i="4"/>
  <c r="I30" i="4"/>
  <c r="I34" i="4"/>
  <c r="I38" i="4"/>
  <c r="I42" i="4"/>
  <c r="I46" i="4"/>
  <c r="I50" i="4"/>
  <c r="I54" i="4"/>
  <c r="I58" i="4"/>
  <c r="I62" i="4"/>
  <c r="I66" i="4"/>
  <c r="I70" i="4"/>
  <c r="I74" i="4"/>
  <c r="I78" i="4"/>
  <c r="I82" i="4"/>
  <c r="I86" i="4"/>
  <c r="I90" i="4"/>
  <c r="I99" i="4"/>
  <c r="I103" i="4"/>
  <c r="I107" i="4"/>
  <c r="I111" i="4"/>
  <c r="I115" i="4"/>
  <c r="I119" i="4"/>
  <c r="I123" i="4"/>
  <c r="I127" i="4"/>
  <c r="I131" i="4"/>
  <c r="I135" i="4"/>
  <c r="I139" i="4"/>
  <c r="I143" i="4"/>
  <c r="I147" i="4"/>
  <c r="I151" i="4"/>
  <c r="I155" i="4"/>
  <c r="I159" i="4"/>
  <c r="I163" i="4"/>
  <c r="I167" i="4"/>
  <c r="I171" i="4"/>
  <c r="I175" i="4"/>
  <c r="I179" i="4"/>
  <c r="I183" i="4"/>
  <c r="I187" i="4"/>
  <c r="I191" i="4"/>
  <c r="I195" i="4"/>
  <c r="I199" i="4"/>
  <c r="I203" i="4"/>
  <c r="I207" i="4"/>
  <c r="I211" i="4"/>
  <c r="I215" i="4"/>
  <c r="I219" i="4"/>
  <c r="I223" i="4"/>
  <c r="I227" i="4"/>
  <c r="I231" i="4"/>
  <c r="I235" i="4"/>
  <c r="I239" i="4"/>
  <c r="I243" i="4"/>
  <c r="I247" i="4"/>
  <c r="I251" i="4"/>
  <c r="I255" i="4"/>
  <c r="I9" i="4"/>
  <c r="I27" i="4"/>
  <c r="I43" i="4"/>
  <c r="I59" i="4"/>
  <c r="I75" i="4"/>
  <c r="I108" i="4"/>
  <c r="I124" i="4"/>
  <c r="I140" i="4"/>
  <c r="I156" i="4"/>
  <c r="I172" i="4"/>
  <c r="I188" i="4"/>
  <c r="I204" i="4"/>
  <c r="I220" i="4"/>
  <c r="I236" i="4"/>
  <c r="I252" i="4"/>
  <c r="I263" i="4"/>
  <c r="I270" i="4"/>
  <c r="I274" i="4"/>
  <c r="I278" i="4"/>
  <c r="I282" i="4"/>
  <c r="I286" i="4"/>
  <c r="I290" i="4"/>
  <c r="I294" i="4"/>
  <c r="I298" i="4"/>
  <c r="I302" i="4"/>
  <c r="I306" i="4"/>
  <c r="I310" i="4"/>
  <c r="I314" i="4"/>
  <c r="I318" i="4"/>
  <c r="I322" i="4"/>
  <c r="I326" i="4"/>
  <c r="I14" i="4"/>
  <c r="I31" i="4"/>
  <c r="I47" i="4"/>
  <c r="I63" i="4"/>
  <c r="I79" i="4"/>
  <c r="I96" i="4"/>
  <c r="I112" i="4"/>
  <c r="I128" i="4"/>
  <c r="I144" i="4"/>
  <c r="I160" i="4"/>
  <c r="I176" i="4"/>
  <c r="I192" i="4"/>
  <c r="I208" i="4"/>
  <c r="I224" i="4"/>
  <c r="I240" i="4"/>
  <c r="I256" i="4"/>
  <c r="I264" i="4"/>
  <c r="I271" i="4"/>
  <c r="I275" i="4"/>
  <c r="I279" i="4"/>
  <c r="I283" i="4"/>
  <c r="I287" i="4"/>
  <c r="I291" i="4"/>
  <c r="I295" i="4"/>
  <c r="I299" i="4"/>
  <c r="I303" i="4"/>
  <c r="I307" i="4"/>
  <c r="I311" i="4"/>
  <c r="I315" i="4"/>
  <c r="I319" i="4"/>
  <c r="I323" i="4"/>
  <c r="I2" i="4"/>
  <c r="I19" i="4"/>
  <c r="I35" i="4"/>
  <c r="I51" i="4"/>
  <c r="I67" i="4"/>
  <c r="I83" i="4"/>
  <c r="I100" i="4"/>
  <c r="I116" i="4"/>
  <c r="I132" i="4"/>
  <c r="I148" i="4"/>
  <c r="I164" i="4"/>
  <c r="I180" i="4"/>
  <c r="I196" i="4"/>
  <c r="I212" i="4"/>
  <c r="I228" i="4"/>
  <c r="I244" i="4"/>
  <c r="I259" i="4"/>
  <c r="I267" i="4"/>
  <c r="I272" i="4"/>
  <c r="I276" i="4"/>
  <c r="I280" i="4"/>
  <c r="I284" i="4"/>
  <c r="I288" i="4"/>
  <c r="I292" i="4"/>
  <c r="I296" i="4"/>
  <c r="I300" i="4"/>
  <c r="I304" i="4"/>
  <c r="I308" i="4"/>
  <c r="I312" i="4"/>
  <c r="I316" i="4"/>
  <c r="I320" i="4"/>
  <c r="I324" i="4"/>
  <c r="I55" i="4"/>
  <c r="I321" i="4"/>
  <c r="I305" i="4"/>
  <c r="I289" i="4"/>
  <c r="I273" i="4"/>
  <c r="I232" i="4"/>
  <c r="I168" i="4"/>
  <c r="I104" i="4"/>
  <c r="I39" i="4"/>
  <c r="I325" i="4"/>
  <c r="I309" i="4"/>
  <c r="I293" i="4"/>
  <c r="I277" i="4"/>
  <c r="I248" i="4"/>
  <c r="I184" i="4"/>
  <c r="I120" i="4"/>
  <c r="I317" i="4"/>
  <c r="I301" i="4"/>
  <c r="I285" i="4"/>
  <c r="I268" i="4"/>
  <c r="I216" i="4"/>
  <c r="I152" i="4"/>
  <c r="I87" i="4"/>
  <c r="I23" i="4"/>
  <c r="I313" i="4"/>
  <c r="I297" i="4"/>
  <c r="I281" i="4"/>
  <c r="I260" i="4"/>
  <c r="I200" i="4"/>
  <c r="I136" i="4"/>
  <c r="I71" i="4"/>
  <c r="E15" i="3"/>
  <c r="C15" i="3"/>
  <c r="C9" i="6" s="1"/>
  <c r="D15" i="3"/>
  <c r="K94" i="4" l="1"/>
  <c r="M94" i="4" s="1"/>
  <c r="K93" i="4"/>
  <c r="M93" i="4" s="1"/>
  <c r="K200" i="4"/>
  <c r="M200" i="4" s="1"/>
  <c r="J200" i="4"/>
  <c r="K317" i="4"/>
  <c r="M317" i="4" s="1"/>
  <c r="J317" i="4"/>
  <c r="K39" i="4"/>
  <c r="M39" i="4" s="1"/>
  <c r="J39" i="4"/>
  <c r="K312" i="4"/>
  <c r="M312" i="4" s="1"/>
  <c r="J312" i="4"/>
  <c r="K259" i="4"/>
  <c r="M259" i="4" s="1"/>
  <c r="J259" i="4"/>
  <c r="K67" i="4"/>
  <c r="M67" i="4" s="1"/>
  <c r="J67" i="4"/>
  <c r="K295" i="4"/>
  <c r="M295" i="4" s="1"/>
  <c r="J295" i="4"/>
  <c r="K192" i="4"/>
  <c r="M192" i="4" s="1"/>
  <c r="J192" i="4"/>
  <c r="K326" i="4"/>
  <c r="M326" i="4" s="1"/>
  <c r="J326" i="4"/>
  <c r="K278" i="4"/>
  <c r="M278" i="4" s="1"/>
  <c r="J278" i="4"/>
  <c r="K124" i="4"/>
  <c r="M124" i="4" s="1"/>
  <c r="J124" i="4"/>
  <c r="K235" i="4"/>
  <c r="M235" i="4" s="1"/>
  <c r="J235" i="4"/>
  <c r="K187" i="4"/>
  <c r="M187" i="4" s="1"/>
  <c r="J187" i="4"/>
  <c r="K139" i="4"/>
  <c r="M139" i="4" s="1"/>
  <c r="J139" i="4"/>
  <c r="K86" i="4"/>
  <c r="M86" i="4" s="1"/>
  <c r="J86" i="4"/>
  <c r="K38" i="4"/>
  <c r="M38" i="4" s="1"/>
  <c r="J38" i="4"/>
  <c r="K250" i="4"/>
  <c r="M250" i="4" s="1"/>
  <c r="J250" i="4"/>
  <c r="K202" i="4"/>
  <c r="M202" i="4" s="1"/>
  <c r="J202" i="4"/>
  <c r="K170" i="4"/>
  <c r="M170" i="4" s="1"/>
  <c r="J170" i="4"/>
  <c r="K122" i="4"/>
  <c r="M122" i="4" s="1"/>
  <c r="J122" i="4"/>
  <c r="K73" i="4"/>
  <c r="M73" i="4" s="1"/>
  <c r="J73" i="4"/>
  <c r="K41" i="4"/>
  <c r="M41" i="4" s="1"/>
  <c r="J41" i="4"/>
  <c r="K257" i="4"/>
  <c r="M257" i="4" s="1"/>
  <c r="J257" i="4"/>
  <c r="K209" i="4"/>
  <c r="M209" i="4" s="1"/>
  <c r="J209" i="4"/>
  <c r="K145" i="4"/>
  <c r="M145" i="4" s="1"/>
  <c r="J145" i="4"/>
  <c r="K97" i="4"/>
  <c r="M97" i="4" s="1"/>
  <c r="J97" i="4"/>
  <c r="K60" i="4"/>
  <c r="M60" i="4" s="1"/>
  <c r="J60" i="4"/>
  <c r="K10" i="4"/>
  <c r="M10" i="4" s="1"/>
  <c r="J10" i="4"/>
  <c r="K11" i="4"/>
  <c r="M11" i="4" s="1"/>
  <c r="J11" i="4"/>
  <c r="K95" i="4"/>
  <c r="M95" i="4" s="1"/>
  <c r="J95" i="4"/>
  <c r="K260" i="4"/>
  <c r="M260" i="4" s="1"/>
  <c r="J260" i="4"/>
  <c r="K23" i="4"/>
  <c r="M23" i="4" s="1"/>
  <c r="J23" i="4"/>
  <c r="K268" i="4"/>
  <c r="M268" i="4" s="1"/>
  <c r="J268" i="4"/>
  <c r="K120" i="4"/>
  <c r="M120" i="4" s="1"/>
  <c r="J120" i="4"/>
  <c r="K293" i="4"/>
  <c r="M293" i="4" s="1"/>
  <c r="J293" i="4"/>
  <c r="K104" i="4"/>
  <c r="M104" i="4" s="1"/>
  <c r="J104" i="4"/>
  <c r="K289" i="4"/>
  <c r="M289" i="4" s="1"/>
  <c r="J289" i="4"/>
  <c r="K324" i="4"/>
  <c r="M324" i="4" s="1"/>
  <c r="J324" i="4"/>
  <c r="K308" i="4"/>
  <c r="M308" i="4" s="1"/>
  <c r="J308" i="4"/>
  <c r="K292" i="4"/>
  <c r="M292" i="4" s="1"/>
  <c r="J292" i="4"/>
  <c r="K276" i="4"/>
  <c r="M276" i="4" s="1"/>
  <c r="J276" i="4"/>
  <c r="K244" i="4"/>
  <c r="M244" i="4" s="1"/>
  <c r="J244" i="4"/>
  <c r="K180" i="4"/>
  <c r="M180" i="4" s="1"/>
  <c r="J180" i="4"/>
  <c r="K116" i="4"/>
  <c r="M116" i="4" s="1"/>
  <c r="J116" i="4"/>
  <c r="K51" i="4"/>
  <c r="M51" i="4" s="1"/>
  <c r="J51" i="4"/>
  <c r="K323" i="4"/>
  <c r="M323" i="4" s="1"/>
  <c r="J323" i="4"/>
  <c r="K307" i="4"/>
  <c r="M307" i="4" s="1"/>
  <c r="J307" i="4"/>
  <c r="K291" i="4"/>
  <c r="M291" i="4" s="1"/>
  <c r="J291" i="4"/>
  <c r="K275" i="4"/>
  <c r="M275" i="4" s="1"/>
  <c r="J275" i="4"/>
  <c r="K240" i="4"/>
  <c r="M240" i="4" s="1"/>
  <c r="J240" i="4"/>
  <c r="K176" i="4"/>
  <c r="M176" i="4" s="1"/>
  <c r="J176" i="4"/>
  <c r="K112" i="4"/>
  <c r="M112" i="4" s="1"/>
  <c r="J112" i="4"/>
  <c r="K47" i="4"/>
  <c r="M47" i="4" s="1"/>
  <c r="J47" i="4"/>
  <c r="K322" i="4"/>
  <c r="M322" i="4" s="1"/>
  <c r="J322" i="4"/>
  <c r="K306" i="4"/>
  <c r="M306" i="4" s="1"/>
  <c r="J306" i="4"/>
  <c r="K290" i="4"/>
  <c r="M290" i="4" s="1"/>
  <c r="J290" i="4"/>
  <c r="K274" i="4"/>
  <c r="M274" i="4" s="1"/>
  <c r="J274" i="4"/>
  <c r="K236" i="4"/>
  <c r="M236" i="4" s="1"/>
  <c r="J236" i="4"/>
  <c r="K172" i="4"/>
  <c r="M172" i="4" s="1"/>
  <c r="J172" i="4"/>
  <c r="K108" i="4"/>
  <c r="M108" i="4" s="1"/>
  <c r="J108" i="4"/>
  <c r="K27" i="4"/>
  <c r="M27" i="4" s="1"/>
  <c r="J27" i="4"/>
  <c r="K247" i="4"/>
  <c r="M247" i="4" s="1"/>
  <c r="J247" i="4"/>
  <c r="K231" i="4"/>
  <c r="M231" i="4" s="1"/>
  <c r="J231" i="4"/>
  <c r="K215" i="4"/>
  <c r="M215" i="4" s="1"/>
  <c r="J215" i="4"/>
  <c r="K199" i="4"/>
  <c r="M199" i="4" s="1"/>
  <c r="J199" i="4"/>
  <c r="K183" i="4"/>
  <c r="M183" i="4" s="1"/>
  <c r="J183" i="4"/>
  <c r="K167" i="4"/>
  <c r="M167" i="4" s="1"/>
  <c r="J167" i="4"/>
  <c r="K151" i="4"/>
  <c r="M151" i="4" s="1"/>
  <c r="J151" i="4"/>
  <c r="K135" i="4"/>
  <c r="M135" i="4" s="1"/>
  <c r="J135" i="4"/>
  <c r="K119" i="4"/>
  <c r="M119" i="4" s="1"/>
  <c r="J119" i="4"/>
  <c r="K103" i="4"/>
  <c r="M103" i="4" s="1"/>
  <c r="J103" i="4"/>
  <c r="K82" i="4"/>
  <c r="M82" i="4" s="1"/>
  <c r="J82" i="4"/>
  <c r="K66" i="4"/>
  <c r="M66" i="4" s="1"/>
  <c r="J66" i="4"/>
  <c r="K50" i="4"/>
  <c r="M50" i="4" s="1"/>
  <c r="J50" i="4"/>
  <c r="K34" i="4"/>
  <c r="M34" i="4" s="1"/>
  <c r="J34" i="4"/>
  <c r="K18" i="4"/>
  <c r="M18" i="4" s="1"/>
  <c r="J18" i="4"/>
  <c r="K262" i="4"/>
  <c r="M262" i="4" s="1"/>
  <c r="J262" i="4"/>
  <c r="K246" i="4"/>
  <c r="M246" i="4" s="1"/>
  <c r="J246" i="4"/>
  <c r="K230" i="4"/>
  <c r="M230" i="4" s="1"/>
  <c r="J230" i="4"/>
  <c r="K214" i="4"/>
  <c r="M214" i="4" s="1"/>
  <c r="J214" i="4"/>
  <c r="K198" i="4"/>
  <c r="M198" i="4" s="1"/>
  <c r="J198" i="4"/>
  <c r="K182" i="4"/>
  <c r="M182" i="4" s="1"/>
  <c r="J182" i="4"/>
  <c r="K166" i="4"/>
  <c r="M166" i="4" s="1"/>
  <c r="J166" i="4"/>
  <c r="K150" i="4"/>
  <c r="M150" i="4" s="1"/>
  <c r="J150" i="4"/>
  <c r="K134" i="4"/>
  <c r="M134" i="4" s="1"/>
  <c r="J134" i="4"/>
  <c r="K118" i="4"/>
  <c r="M118" i="4" s="1"/>
  <c r="J118" i="4"/>
  <c r="K102" i="4"/>
  <c r="M102" i="4" s="1"/>
  <c r="J102" i="4"/>
  <c r="K85" i="4"/>
  <c r="M85" i="4" s="1"/>
  <c r="J85" i="4"/>
  <c r="K69" i="4"/>
  <c r="M69" i="4" s="1"/>
  <c r="J69" i="4"/>
  <c r="K53" i="4"/>
  <c r="M53" i="4" s="1"/>
  <c r="J53" i="4"/>
  <c r="K37" i="4"/>
  <c r="M37" i="4" s="1"/>
  <c r="J37" i="4"/>
  <c r="K21" i="4"/>
  <c r="M21" i="4" s="1"/>
  <c r="J21" i="4"/>
  <c r="K269" i="4"/>
  <c r="M269" i="4" s="1"/>
  <c r="J269" i="4"/>
  <c r="K253" i="4"/>
  <c r="M253" i="4" s="1"/>
  <c r="J253" i="4"/>
  <c r="K237" i="4"/>
  <c r="M237" i="4" s="1"/>
  <c r="J237" i="4"/>
  <c r="K221" i="4"/>
  <c r="M221" i="4" s="1"/>
  <c r="J221" i="4"/>
  <c r="K205" i="4"/>
  <c r="M205" i="4" s="1"/>
  <c r="J205" i="4"/>
  <c r="K189" i="4"/>
  <c r="M189" i="4" s="1"/>
  <c r="J189" i="4"/>
  <c r="K173" i="4"/>
  <c r="M173" i="4" s="1"/>
  <c r="J173" i="4"/>
  <c r="K157" i="4"/>
  <c r="M157" i="4" s="1"/>
  <c r="J157" i="4"/>
  <c r="K141" i="4"/>
  <c r="M141" i="4" s="1"/>
  <c r="J141" i="4"/>
  <c r="K125" i="4"/>
  <c r="M125" i="4" s="1"/>
  <c r="J125" i="4"/>
  <c r="K109" i="4"/>
  <c r="M109" i="4" s="1"/>
  <c r="J109" i="4"/>
  <c r="K88" i="4"/>
  <c r="M88" i="4" s="1"/>
  <c r="J88" i="4"/>
  <c r="K72" i="4"/>
  <c r="M72" i="4" s="1"/>
  <c r="J72" i="4"/>
  <c r="K56" i="4"/>
  <c r="M56" i="4" s="1"/>
  <c r="J56" i="4"/>
  <c r="K40" i="4"/>
  <c r="M40" i="4" s="1"/>
  <c r="J40" i="4"/>
  <c r="K24" i="4"/>
  <c r="M24" i="4" s="1"/>
  <c r="J24" i="4"/>
  <c r="K5" i="4"/>
  <c r="M5" i="4" s="1"/>
  <c r="J5" i="4"/>
  <c r="K7" i="4"/>
  <c r="M7" i="4" s="1"/>
  <c r="J7" i="4"/>
  <c r="K91" i="4"/>
  <c r="M91" i="4" s="1"/>
  <c r="J91" i="4"/>
  <c r="K216" i="4"/>
  <c r="M216" i="4" s="1"/>
  <c r="J216" i="4"/>
  <c r="K273" i="4"/>
  <c r="M273" i="4" s="1"/>
  <c r="J273" i="4"/>
  <c r="K296" i="4"/>
  <c r="M296" i="4" s="1"/>
  <c r="J296" i="4"/>
  <c r="K196" i="4"/>
  <c r="M196" i="4" s="1"/>
  <c r="J196" i="4"/>
  <c r="K2" i="4"/>
  <c r="M2" i="4" s="1"/>
  <c r="J2" i="4"/>
  <c r="K279" i="4"/>
  <c r="M279" i="4" s="1"/>
  <c r="J279" i="4"/>
  <c r="K128" i="4"/>
  <c r="M128" i="4" s="1"/>
  <c r="J128" i="4"/>
  <c r="K294" i="4"/>
  <c r="M294" i="4" s="1"/>
  <c r="J294" i="4"/>
  <c r="K188" i="4"/>
  <c r="M188" i="4" s="1"/>
  <c r="J188" i="4"/>
  <c r="K251" i="4"/>
  <c r="M251" i="4" s="1"/>
  <c r="J251" i="4"/>
  <c r="K203" i="4"/>
  <c r="M203" i="4" s="1"/>
  <c r="J203" i="4"/>
  <c r="K155" i="4"/>
  <c r="M155" i="4" s="1"/>
  <c r="J155" i="4"/>
  <c r="K107" i="4"/>
  <c r="M107" i="4" s="1"/>
  <c r="J107" i="4"/>
  <c r="K54" i="4"/>
  <c r="M54" i="4" s="1"/>
  <c r="J54" i="4"/>
  <c r="K266" i="4"/>
  <c r="M266" i="4" s="1"/>
  <c r="J266" i="4"/>
  <c r="K218" i="4"/>
  <c r="M218" i="4" s="1"/>
  <c r="J218" i="4"/>
  <c r="K154" i="4"/>
  <c r="M154" i="4" s="1"/>
  <c r="J154" i="4"/>
  <c r="K106" i="4"/>
  <c r="M106" i="4" s="1"/>
  <c r="J106" i="4"/>
  <c r="K57" i="4"/>
  <c r="M57" i="4" s="1"/>
  <c r="J57" i="4"/>
  <c r="K25" i="4"/>
  <c r="M25" i="4" s="1"/>
  <c r="J25" i="4"/>
  <c r="K241" i="4"/>
  <c r="M241" i="4" s="1"/>
  <c r="J241" i="4"/>
  <c r="K193" i="4"/>
  <c r="M193" i="4" s="1"/>
  <c r="J193" i="4"/>
  <c r="K161" i="4"/>
  <c r="M161" i="4" s="1"/>
  <c r="J161" i="4"/>
  <c r="K113" i="4"/>
  <c r="M113" i="4" s="1"/>
  <c r="J113" i="4"/>
  <c r="K44" i="4"/>
  <c r="M44" i="4" s="1"/>
  <c r="J44" i="4"/>
  <c r="K71" i="4"/>
  <c r="M71" i="4" s="1"/>
  <c r="J71" i="4"/>
  <c r="K87" i="4"/>
  <c r="M87" i="4" s="1"/>
  <c r="J87" i="4"/>
  <c r="K184" i="4"/>
  <c r="M184" i="4" s="1"/>
  <c r="J184" i="4"/>
  <c r="K309" i="4"/>
  <c r="M309" i="4" s="1"/>
  <c r="J309" i="4"/>
  <c r="K168" i="4"/>
  <c r="M168" i="4" s="1"/>
  <c r="J168" i="4"/>
  <c r="K305" i="4"/>
  <c r="M305" i="4" s="1"/>
  <c r="J305" i="4"/>
  <c r="K320" i="4"/>
  <c r="M320" i="4" s="1"/>
  <c r="J320" i="4"/>
  <c r="K304" i="4"/>
  <c r="M304" i="4" s="1"/>
  <c r="J304" i="4"/>
  <c r="K288" i="4"/>
  <c r="M288" i="4" s="1"/>
  <c r="J288" i="4"/>
  <c r="K272" i="4"/>
  <c r="M272" i="4" s="1"/>
  <c r="J272" i="4"/>
  <c r="K228" i="4"/>
  <c r="M228" i="4" s="1"/>
  <c r="J228" i="4"/>
  <c r="K164" i="4"/>
  <c r="M164" i="4" s="1"/>
  <c r="J164" i="4"/>
  <c r="K100" i="4"/>
  <c r="M100" i="4" s="1"/>
  <c r="J100" i="4"/>
  <c r="K35" i="4"/>
  <c r="M35" i="4" s="1"/>
  <c r="J35" i="4"/>
  <c r="K319" i="4"/>
  <c r="M319" i="4" s="1"/>
  <c r="J319" i="4"/>
  <c r="K303" i="4"/>
  <c r="M303" i="4" s="1"/>
  <c r="J303" i="4"/>
  <c r="K287" i="4"/>
  <c r="M287" i="4" s="1"/>
  <c r="J287" i="4"/>
  <c r="K271" i="4"/>
  <c r="M271" i="4" s="1"/>
  <c r="J271" i="4"/>
  <c r="K224" i="4"/>
  <c r="M224" i="4" s="1"/>
  <c r="J224" i="4"/>
  <c r="K160" i="4"/>
  <c r="M160" i="4" s="1"/>
  <c r="J160" i="4"/>
  <c r="K96" i="4"/>
  <c r="M96" i="4" s="1"/>
  <c r="J96" i="4"/>
  <c r="K31" i="4"/>
  <c r="M31" i="4" s="1"/>
  <c r="J31" i="4"/>
  <c r="K318" i="4"/>
  <c r="M318" i="4" s="1"/>
  <c r="J318" i="4"/>
  <c r="K302" i="4"/>
  <c r="M302" i="4" s="1"/>
  <c r="J302" i="4"/>
  <c r="K286" i="4"/>
  <c r="M286" i="4" s="1"/>
  <c r="J286" i="4"/>
  <c r="K270" i="4"/>
  <c r="M270" i="4" s="1"/>
  <c r="J270" i="4"/>
  <c r="K220" i="4"/>
  <c r="M220" i="4" s="1"/>
  <c r="J220" i="4"/>
  <c r="K156" i="4"/>
  <c r="M156" i="4" s="1"/>
  <c r="J156" i="4"/>
  <c r="K75" i="4"/>
  <c r="M75" i="4" s="1"/>
  <c r="J75" i="4"/>
  <c r="K9" i="4"/>
  <c r="M9" i="4" s="1"/>
  <c r="J9" i="4"/>
  <c r="K243" i="4"/>
  <c r="M243" i="4" s="1"/>
  <c r="J243" i="4"/>
  <c r="K227" i="4"/>
  <c r="M227" i="4" s="1"/>
  <c r="J227" i="4"/>
  <c r="K211" i="4"/>
  <c r="M211" i="4" s="1"/>
  <c r="J211" i="4"/>
  <c r="K195" i="4"/>
  <c r="M195" i="4" s="1"/>
  <c r="J195" i="4"/>
  <c r="K179" i="4"/>
  <c r="M179" i="4" s="1"/>
  <c r="J179" i="4"/>
  <c r="K163" i="4"/>
  <c r="M163" i="4" s="1"/>
  <c r="J163" i="4"/>
  <c r="K147" i="4"/>
  <c r="M147" i="4" s="1"/>
  <c r="J147" i="4"/>
  <c r="K131" i="4"/>
  <c r="M131" i="4" s="1"/>
  <c r="J131" i="4"/>
  <c r="K115" i="4"/>
  <c r="M115" i="4" s="1"/>
  <c r="J115" i="4"/>
  <c r="K99" i="4"/>
  <c r="M99" i="4" s="1"/>
  <c r="J99" i="4"/>
  <c r="K78" i="4"/>
  <c r="M78" i="4" s="1"/>
  <c r="J78" i="4"/>
  <c r="K62" i="4"/>
  <c r="M62" i="4" s="1"/>
  <c r="J62" i="4"/>
  <c r="K46" i="4"/>
  <c r="M46" i="4" s="1"/>
  <c r="J46" i="4"/>
  <c r="K30" i="4"/>
  <c r="M30" i="4" s="1"/>
  <c r="J30" i="4"/>
  <c r="K13" i="4"/>
  <c r="J13" i="4"/>
  <c r="K258" i="4"/>
  <c r="M258" i="4" s="1"/>
  <c r="J258" i="4"/>
  <c r="K242" i="4"/>
  <c r="M242" i="4" s="1"/>
  <c r="J242" i="4"/>
  <c r="K226" i="4"/>
  <c r="M226" i="4" s="1"/>
  <c r="J226" i="4"/>
  <c r="K210" i="4"/>
  <c r="M210" i="4" s="1"/>
  <c r="J210" i="4"/>
  <c r="K194" i="4"/>
  <c r="M194" i="4" s="1"/>
  <c r="J194" i="4"/>
  <c r="K178" i="4"/>
  <c r="M178" i="4" s="1"/>
  <c r="J178" i="4"/>
  <c r="K162" i="4"/>
  <c r="M162" i="4" s="1"/>
  <c r="J162" i="4"/>
  <c r="K146" i="4"/>
  <c r="M146" i="4" s="1"/>
  <c r="J146" i="4"/>
  <c r="K130" i="4"/>
  <c r="M130" i="4" s="1"/>
  <c r="J130" i="4"/>
  <c r="K114" i="4"/>
  <c r="M114" i="4" s="1"/>
  <c r="J114" i="4"/>
  <c r="K98" i="4"/>
  <c r="M98" i="4" s="1"/>
  <c r="J98" i="4"/>
  <c r="K81" i="4"/>
  <c r="M81" i="4" s="1"/>
  <c r="J81" i="4"/>
  <c r="K65" i="4"/>
  <c r="M65" i="4" s="1"/>
  <c r="J65" i="4"/>
  <c r="K49" i="4"/>
  <c r="M49" i="4" s="1"/>
  <c r="J49" i="4"/>
  <c r="K33" i="4"/>
  <c r="M33" i="4" s="1"/>
  <c r="J33" i="4"/>
  <c r="K17" i="4"/>
  <c r="J17" i="4"/>
  <c r="K265" i="4"/>
  <c r="M265" i="4" s="1"/>
  <c r="J265" i="4"/>
  <c r="K249" i="4"/>
  <c r="M249" i="4" s="1"/>
  <c r="J249" i="4"/>
  <c r="K233" i="4"/>
  <c r="M233" i="4" s="1"/>
  <c r="J233" i="4"/>
  <c r="K217" i="4"/>
  <c r="M217" i="4" s="1"/>
  <c r="J217" i="4"/>
  <c r="K201" i="4"/>
  <c r="M201" i="4" s="1"/>
  <c r="J201" i="4"/>
  <c r="K185" i="4"/>
  <c r="M185" i="4" s="1"/>
  <c r="J185" i="4"/>
  <c r="K169" i="4"/>
  <c r="M169" i="4" s="1"/>
  <c r="J169" i="4"/>
  <c r="K153" i="4"/>
  <c r="M153" i="4" s="1"/>
  <c r="J153" i="4"/>
  <c r="K137" i="4"/>
  <c r="M137" i="4" s="1"/>
  <c r="J137" i="4"/>
  <c r="K121" i="4"/>
  <c r="M121" i="4" s="1"/>
  <c r="J121" i="4"/>
  <c r="K105" i="4"/>
  <c r="M105" i="4" s="1"/>
  <c r="J105" i="4"/>
  <c r="K84" i="4"/>
  <c r="M84" i="4" s="1"/>
  <c r="J84" i="4"/>
  <c r="K68" i="4"/>
  <c r="M68" i="4" s="1"/>
  <c r="J68" i="4"/>
  <c r="K52" i="4"/>
  <c r="M52" i="4" s="1"/>
  <c r="J52" i="4"/>
  <c r="K36" i="4"/>
  <c r="M36" i="4" s="1"/>
  <c r="J36" i="4"/>
  <c r="K20" i="4"/>
  <c r="M20" i="4" s="1"/>
  <c r="J20" i="4"/>
  <c r="K4" i="4"/>
  <c r="M4" i="4" s="1"/>
  <c r="J4" i="4"/>
  <c r="K3" i="4"/>
  <c r="J3" i="4"/>
  <c r="K313" i="4"/>
  <c r="M313" i="4" s="1"/>
  <c r="J313" i="4"/>
  <c r="K277" i="4"/>
  <c r="M277" i="4" s="1"/>
  <c r="J277" i="4"/>
  <c r="K55" i="4"/>
  <c r="M55" i="4" s="1"/>
  <c r="J55" i="4"/>
  <c r="K280" i="4"/>
  <c r="M280" i="4" s="1"/>
  <c r="J280" i="4"/>
  <c r="K132" i="4"/>
  <c r="M132" i="4" s="1"/>
  <c r="J132" i="4"/>
  <c r="K311" i="4"/>
  <c r="M311" i="4" s="1"/>
  <c r="J311" i="4"/>
  <c r="K256" i="4"/>
  <c r="M256" i="4" s="1"/>
  <c r="J256" i="4"/>
  <c r="K63" i="4"/>
  <c r="M63" i="4" s="1"/>
  <c r="J63" i="4"/>
  <c r="K310" i="4"/>
  <c r="M310" i="4" s="1"/>
  <c r="J310" i="4"/>
  <c r="K252" i="4"/>
  <c r="M252" i="4" s="1"/>
  <c r="J252" i="4"/>
  <c r="K43" i="4"/>
  <c r="M43" i="4" s="1"/>
  <c r="J43" i="4"/>
  <c r="K219" i="4"/>
  <c r="M219" i="4" s="1"/>
  <c r="J219" i="4"/>
  <c r="K171" i="4"/>
  <c r="M171" i="4" s="1"/>
  <c r="J171" i="4"/>
  <c r="K123" i="4"/>
  <c r="M123" i="4" s="1"/>
  <c r="J123" i="4"/>
  <c r="K70" i="4"/>
  <c r="M70" i="4" s="1"/>
  <c r="J70" i="4"/>
  <c r="K22" i="4"/>
  <c r="M22" i="4" s="1"/>
  <c r="J22" i="4"/>
  <c r="K234" i="4"/>
  <c r="M234" i="4" s="1"/>
  <c r="J234" i="4"/>
  <c r="K186" i="4"/>
  <c r="M186" i="4" s="1"/>
  <c r="J186" i="4"/>
  <c r="K138" i="4"/>
  <c r="M138" i="4" s="1"/>
  <c r="J138" i="4"/>
  <c r="K89" i="4"/>
  <c r="M89" i="4" s="1"/>
  <c r="J89" i="4"/>
  <c r="K6" i="4"/>
  <c r="M6" i="4" s="1"/>
  <c r="J6" i="4"/>
  <c r="K225" i="4"/>
  <c r="M225" i="4" s="1"/>
  <c r="J225" i="4"/>
  <c r="K177" i="4"/>
  <c r="M177" i="4" s="1"/>
  <c r="J177" i="4"/>
  <c r="K129" i="4"/>
  <c r="M129" i="4" s="1"/>
  <c r="J129" i="4"/>
  <c r="K76" i="4"/>
  <c r="M76" i="4" s="1"/>
  <c r="J76" i="4"/>
  <c r="K28" i="4"/>
  <c r="M28" i="4" s="1"/>
  <c r="J28" i="4"/>
  <c r="K281" i="4"/>
  <c r="M281" i="4" s="1"/>
  <c r="J281" i="4"/>
  <c r="K285" i="4"/>
  <c r="M285" i="4" s="1"/>
  <c r="J285" i="4"/>
  <c r="K136" i="4"/>
  <c r="M136" i="4" s="1"/>
  <c r="J136" i="4"/>
  <c r="K297" i="4"/>
  <c r="M297" i="4" s="1"/>
  <c r="J297" i="4"/>
  <c r="K152" i="4"/>
  <c r="M152" i="4" s="1"/>
  <c r="J152" i="4"/>
  <c r="K301" i="4"/>
  <c r="M301" i="4" s="1"/>
  <c r="J301" i="4"/>
  <c r="K248" i="4"/>
  <c r="M248" i="4" s="1"/>
  <c r="J248" i="4"/>
  <c r="K325" i="4"/>
  <c r="M325" i="4" s="1"/>
  <c r="J325" i="4"/>
  <c r="K232" i="4"/>
  <c r="M232" i="4" s="1"/>
  <c r="J232" i="4"/>
  <c r="K321" i="4"/>
  <c r="M321" i="4" s="1"/>
  <c r="J321" i="4"/>
  <c r="K316" i="4"/>
  <c r="M316" i="4" s="1"/>
  <c r="J316" i="4"/>
  <c r="K300" i="4"/>
  <c r="M300" i="4" s="1"/>
  <c r="J300" i="4"/>
  <c r="K284" i="4"/>
  <c r="M284" i="4" s="1"/>
  <c r="J284" i="4"/>
  <c r="K267" i="4"/>
  <c r="M267" i="4" s="1"/>
  <c r="J267" i="4"/>
  <c r="K212" i="4"/>
  <c r="M212" i="4" s="1"/>
  <c r="J212" i="4"/>
  <c r="K148" i="4"/>
  <c r="M148" i="4" s="1"/>
  <c r="J148" i="4"/>
  <c r="K83" i="4"/>
  <c r="M83" i="4" s="1"/>
  <c r="J83" i="4"/>
  <c r="K19" i="4"/>
  <c r="M19" i="4" s="1"/>
  <c r="J19" i="4"/>
  <c r="K315" i="4"/>
  <c r="M315" i="4" s="1"/>
  <c r="J315" i="4"/>
  <c r="K299" i="4"/>
  <c r="M299" i="4" s="1"/>
  <c r="J299" i="4"/>
  <c r="K283" i="4"/>
  <c r="M283" i="4" s="1"/>
  <c r="J283" i="4"/>
  <c r="K264" i="4"/>
  <c r="M264" i="4" s="1"/>
  <c r="J264" i="4"/>
  <c r="K208" i="4"/>
  <c r="M208" i="4" s="1"/>
  <c r="J208" i="4"/>
  <c r="K144" i="4"/>
  <c r="M144" i="4" s="1"/>
  <c r="J144" i="4"/>
  <c r="K79" i="4"/>
  <c r="M79" i="4" s="1"/>
  <c r="J79" i="4"/>
  <c r="K14" i="4"/>
  <c r="M14" i="4" s="1"/>
  <c r="J14" i="4"/>
  <c r="K314" i="4"/>
  <c r="M314" i="4" s="1"/>
  <c r="J314" i="4"/>
  <c r="K298" i="4"/>
  <c r="M298" i="4" s="1"/>
  <c r="J298" i="4"/>
  <c r="K282" i="4"/>
  <c r="M282" i="4" s="1"/>
  <c r="J282" i="4"/>
  <c r="K263" i="4"/>
  <c r="M263" i="4" s="1"/>
  <c r="J263" i="4"/>
  <c r="K204" i="4"/>
  <c r="M204" i="4" s="1"/>
  <c r="J204" i="4"/>
  <c r="K140" i="4"/>
  <c r="M140" i="4" s="1"/>
  <c r="J140" i="4"/>
  <c r="K59" i="4"/>
  <c r="M59" i="4" s="1"/>
  <c r="J59" i="4"/>
  <c r="K255" i="4"/>
  <c r="M255" i="4" s="1"/>
  <c r="J255" i="4"/>
  <c r="K239" i="4"/>
  <c r="M239" i="4" s="1"/>
  <c r="J239" i="4"/>
  <c r="K223" i="4"/>
  <c r="M223" i="4" s="1"/>
  <c r="J223" i="4"/>
  <c r="K207" i="4"/>
  <c r="M207" i="4" s="1"/>
  <c r="J207" i="4"/>
  <c r="K191" i="4"/>
  <c r="M191" i="4" s="1"/>
  <c r="J191" i="4"/>
  <c r="K175" i="4"/>
  <c r="M175" i="4" s="1"/>
  <c r="J175" i="4"/>
  <c r="K159" i="4"/>
  <c r="M159" i="4" s="1"/>
  <c r="J159" i="4"/>
  <c r="K143" i="4"/>
  <c r="M143" i="4" s="1"/>
  <c r="J143" i="4"/>
  <c r="K127" i="4"/>
  <c r="M127" i="4" s="1"/>
  <c r="J127" i="4"/>
  <c r="K111" i="4"/>
  <c r="M111" i="4" s="1"/>
  <c r="J111" i="4"/>
  <c r="K90" i="4"/>
  <c r="M90" i="4" s="1"/>
  <c r="J90" i="4"/>
  <c r="K74" i="4"/>
  <c r="M74" i="4" s="1"/>
  <c r="J74" i="4"/>
  <c r="K58" i="4"/>
  <c r="M58" i="4" s="1"/>
  <c r="J58" i="4"/>
  <c r="K42" i="4"/>
  <c r="M42" i="4" s="1"/>
  <c r="J42" i="4"/>
  <c r="K26" i="4"/>
  <c r="M26" i="4" s="1"/>
  <c r="J26" i="4"/>
  <c r="K8" i="4"/>
  <c r="M8" i="4" s="1"/>
  <c r="J8" i="4"/>
  <c r="K254" i="4"/>
  <c r="M254" i="4" s="1"/>
  <c r="J254" i="4"/>
  <c r="K238" i="4"/>
  <c r="M238" i="4" s="1"/>
  <c r="J238" i="4"/>
  <c r="K222" i="4"/>
  <c r="M222" i="4" s="1"/>
  <c r="J222" i="4"/>
  <c r="K206" i="4"/>
  <c r="M206" i="4" s="1"/>
  <c r="J206" i="4"/>
  <c r="K190" i="4"/>
  <c r="M190" i="4" s="1"/>
  <c r="J190" i="4"/>
  <c r="K174" i="4"/>
  <c r="M174" i="4" s="1"/>
  <c r="J174" i="4"/>
  <c r="K158" i="4"/>
  <c r="M158" i="4" s="1"/>
  <c r="J158" i="4"/>
  <c r="K142" i="4"/>
  <c r="M142" i="4" s="1"/>
  <c r="J142" i="4"/>
  <c r="K126" i="4"/>
  <c r="M126" i="4" s="1"/>
  <c r="J126" i="4"/>
  <c r="K110" i="4"/>
  <c r="M110" i="4" s="1"/>
  <c r="J110" i="4"/>
  <c r="K77" i="4"/>
  <c r="M77" i="4" s="1"/>
  <c r="J77" i="4"/>
  <c r="K61" i="4"/>
  <c r="M61" i="4" s="1"/>
  <c r="J61" i="4"/>
  <c r="K45" i="4"/>
  <c r="M45" i="4" s="1"/>
  <c r="J45" i="4"/>
  <c r="K29" i="4"/>
  <c r="M29" i="4" s="1"/>
  <c r="J29" i="4"/>
  <c r="K12" i="4"/>
  <c r="M12" i="4" s="1"/>
  <c r="J12" i="4"/>
  <c r="K261" i="4"/>
  <c r="M261" i="4" s="1"/>
  <c r="J261" i="4"/>
  <c r="K245" i="4"/>
  <c r="M245" i="4" s="1"/>
  <c r="J245" i="4"/>
  <c r="K229" i="4"/>
  <c r="M229" i="4" s="1"/>
  <c r="J229" i="4"/>
  <c r="K213" i="4"/>
  <c r="M213" i="4" s="1"/>
  <c r="J213" i="4"/>
  <c r="K197" i="4"/>
  <c r="M197" i="4" s="1"/>
  <c r="J197" i="4"/>
  <c r="K181" i="4"/>
  <c r="M181" i="4" s="1"/>
  <c r="J181" i="4"/>
  <c r="K165" i="4"/>
  <c r="M165" i="4" s="1"/>
  <c r="J165" i="4"/>
  <c r="K149" i="4"/>
  <c r="M149" i="4" s="1"/>
  <c r="J149" i="4"/>
  <c r="K133" i="4"/>
  <c r="M133" i="4" s="1"/>
  <c r="J133" i="4"/>
  <c r="K117" i="4"/>
  <c r="M117" i="4" s="1"/>
  <c r="J117" i="4"/>
  <c r="K101" i="4"/>
  <c r="M101" i="4" s="1"/>
  <c r="J101" i="4"/>
  <c r="K80" i="4"/>
  <c r="M80" i="4" s="1"/>
  <c r="J80" i="4"/>
  <c r="K64" i="4"/>
  <c r="M64" i="4" s="1"/>
  <c r="J64" i="4"/>
  <c r="K48" i="4"/>
  <c r="M48" i="4" s="1"/>
  <c r="J48" i="4"/>
  <c r="K32" i="4"/>
  <c r="M32" i="4" s="1"/>
  <c r="J32" i="4"/>
  <c r="K16" i="4"/>
  <c r="M16" i="4" s="1"/>
  <c r="J16" i="4"/>
  <c r="K15" i="4"/>
  <c r="M15" i="4" s="1"/>
  <c r="J15" i="4"/>
  <c r="K92" i="4"/>
  <c r="M92" i="4" s="1"/>
  <c r="J92" i="4"/>
  <c r="M17" i="4" l="1"/>
  <c r="M13" i="4"/>
  <c r="M3" i="4"/>
  <c r="H322" i="5" s="1"/>
  <c r="N2" i="4"/>
  <c r="H55" i="5" l="1"/>
  <c r="H231" i="5"/>
  <c r="H27" i="5"/>
  <c r="H91" i="5"/>
  <c r="J91" i="5" s="1"/>
  <c r="H155" i="5"/>
  <c r="H219" i="5"/>
  <c r="H283" i="5"/>
  <c r="H183" i="5"/>
  <c r="J183" i="5" s="1"/>
  <c r="H63" i="5"/>
  <c r="H127" i="5"/>
  <c r="H191" i="5"/>
  <c r="H255" i="5"/>
  <c r="H71" i="5"/>
  <c r="H15" i="5"/>
  <c r="H51" i="5"/>
  <c r="H115" i="5"/>
  <c r="J115" i="5" s="1"/>
  <c r="H179" i="5"/>
  <c r="H243" i="5"/>
  <c r="H299" i="5"/>
  <c r="H8" i="5"/>
  <c r="J8" i="5" s="1"/>
  <c r="H24" i="5"/>
  <c r="H40" i="5"/>
  <c r="H56" i="5"/>
  <c r="H72" i="5"/>
  <c r="J72" i="5" s="1"/>
  <c r="H88" i="5"/>
  <c r="H104" i="5"/>
  <c r="H120" i="5"/>
  <c r="H136" i="5"/>
  <c r="J136" i="5" s="1"/>
  <c r="H152" i="5"/>
  <c r="H168" i="5"/>
  <c r="H184" i="5"/>
  <c r="H200" i="5"/>
  <c r="J200" i="5" s="1"/>
  <c r="H216" i="5"/>
  <c r="H232" i="5"/>
  <c r="H248" i="5"/>
  <c r="H264" i="5"/>
  <c r="H280" i="5"/>
  <c r="H296" i="5"/>
  <c r="H312" i="5"/>
  <c r="H295" i="5"/>
  <c r="J295" i="5" s="1"/>
  <c r="H13" i="5"/>
  <c r="H29" i="5"/>
  <c r="H45" i="5"/>
  <c r="H61" i="5"/>
  <c r="J61" i="5" s="1"/>
  <c r="H77" i="5"/>
  <c r="H93" i="5"/>
  <c r="H109" i="5"/>
  <c r="H125" i="5"/>
  <c r="J125" i="5" s="1"/>
  <c r="H141" i="5"/>
  <c r="H157" i="5"/>
  <c r="H173" i="5"/>
  <c r="H189" i="5"/>
  <c r="J189" i="5" s="1"/>
  <c r="H205" i="5"/>
  <c r="H221" i="5"/>
  <c r="H237" i="5"/>
  <c r="H253" i="5"/>
  <c r="J253" i="5" s="1"/>
  <c r="H269" i="5"/>
  <c r="H285" i="5"/>
  <c r="H301" i="5"/>
  <c r="H317" i="5"/>
  <c r="J317" i="5" s="1"/>
  <c r="H311" i="5"/>
  <c r="H10" i="5"/>
  <c r="H26" i="5"/>
  <c r="H42" i="5"/>
  <c r="J42" i="5" s="1"/>
  <c r="H58" i="5"/>
  <c r="H74" i="5"/>
  <c r="H90" i="5"/>
  <c r="H106" i="5"/>
  <c r="J106" i="5" s="1"/>
  <c r="H122" i="5"/>
  <c r="H138" i="5"/>
  <c r="H154" i="5"/>
  <c r="H170" i="5"/>
  <c r="J170" i="5" s="1"/>
  <c r="H186" i="5"/>
  <c r="H202" i="5"/>
  <c r="H218" i="5"/>
  <c r="H234" i="5"/>
  <c r="J234" i="5" s="1"/>
  <c r="H250" i="5"/>
  <c r="H266" i="5"/>
  <c r="H282" i="5"/>
  <c r="H298" i="5"/>
  <c r="J298" i="5" s="1"/>
  <c r="H314" i="5"/>
  <c r="H103" i="5"/>
  <c r="H263" i="5"/>
  <c r="H43" i="5"/>
  <c r="H107" i="5"/>
  <c r="H171" i="5"/>
  <c r="H235" i="5"/>
  <c r="H39" i="5"/>
  <c r="J39" i="5" s="1"/>
  <c r="H247" i="5"/>
  <c r="H79" i="5"/>
  <c r="H143" i="5"/>
  <c r="H207" i="5"/>
  <c r="J207" i="5" s="1"/>
  <c r="H271" i="5"/>
  <c r="H119" i="5"/>
  <c r="H3" i="5"/>
  <c r="H67" i="5"/>
  <c r="J67" i="5" s="1"/>
  <c r="H131" i="5"/>
  <c r="H195" i="5"/>
  <c r="H259" i="5"/>
  <c r="H307" i="5"/>
  <c r="J307" i="5" s="1"/>
  <c r="H12" i="5"/>
  <c r="H28" i="5"/>
  <c r="H44" i="5"/>
  <c r="H60" i="5"/>
  <c r="J60" i="5" s="1"/>
  <c r="H76" i="5"/>
  <c r="H92" i="5"/>
  <c r="H108" i="5"/>
  <c r="H124" i="5"/>
  <c r="J124" i="5" s="1"/>
  <c r="H140" i="5"/>
  <c r="H156" i="5"/>
  <c r="H172" i="5"/>
  <c r="H188" i="5"/>
  <c r="J188" i="5" s="1"/>
  <c r="H204" i="5"/>
  <c r="H220" i="5"/>
  <c r="H236" i="5"/>
  <c r="H252" i="5"/>
  <c r="J252" i="5" s="1"/>
  <c r="H268" i="5"/>
  <c r="H284" i="5"/>
  <c r="H300" i="5"/>
  <c r="H316" i="5"/>
  <c r="J316" i="5" s="1"/>
  <c r="H315" i="5"/>
  <c r="H17" i="5"/>
  <c r="H33" i="5"/>
  <c r="H49" i="5"/>
  <c r="J49" i="5" s="1"/>
  <c r="H65" i="5"/>
  <c r="H81" i="5"/>
  <c r="H97" i="5"/>
  <c r="H113" i="5"/>
  <c r="J113" i="5" s="1"/>
  <c r="H129" i="5"/>
  <c r="H145" i="5"/>
  <c r="H161" i="5"/>
  <c r="H177" i="5"/>
  <c r="J177" i="5" s="1"/>
  <c r="H193" i="5"/>
  <c r="H209" i="5"/>
  <c r="H225" i="5"/>
  <c r="H241" i="5"/>
  <c r="J241" i="5" s="1"/>
  <c r="H257" i="5"/>
  <c r="H273" i="5"/>
  <c r="H289" i="5"/>
  <c r="H305" i="5"/>
  <c r="J305" i="5" s="1"/>
  <c r="H321" i="5"/>
  <c r="H319" i="5"/>
  <c r="H14" i="5"/>
  <c r="H30" i="5"/>
  <c r="J30" i="5" s="1"/>
  <c r="H46" i="5"/>
  <c r="H62" i="5"/>
  <c r="H78" i="5"/>
  <c r="H94" i="5"/>
  <c r="J94" i="5" s="1"/>
  <c r="H110" i="5"/>
  <c r="H126" i="5"/>
  <c r="H142" i="5"/>
  <c r="H158" i="5"/>
  <c r="J158" i="5" s="1"/>
  <c r="H174" i="5"/>
  <c r="H190" i="5"/>
  <c r="H206" i="5"/>
  <c r="H222" i="5"/>
  <c r="J222" i="5" s="1"/>
  <c r="H238" i="5"/>
  <c r="H254" i="5"/>
  <c r="H270" i="5"/>
  <c r="H286" i="5"/>
  <c r="J286" i="5" s="1"/>
  <c r="H302" i="5"/>
  <c r="H318" i="5"/>
  <c r="H151" i="5"/>
  <c r="H279" i="5"/>
  <c r="J279" i="5" s="1"/>
  <c r="H59" i="5"/>
  <c r="H123" i="5"/>
  <c r="H187" i="5"/>
  <c r="H251" i="5"/>
  <c r="J251" i="5" s="1"/>
  <c r="H87" i="5"/>
  <c r="H31" i="5"/>
  <c r="H95" i="5"/>
  <c r="H159" i="5"/>
  <c r="J159" i="5" s="1"/>
  <c r="H223" i="5"/>
  <c r="H287" i="5"/>
  <c r="H167" i="5"/>
  <c r="H19" i="5"/>
  <c r="J19" i="5" s="1"/>
  <c r="H83" i="5"/>
  <c r="H147" i="5"/>
  <c r="H211" i="5"/>
  <c r="H275" i="5"/>
  <c r="J275" i="5" s="1"/>
  <c r="H323" i="5"/>
  <c r="H16" i="5"/>
  <c r="H32" i="5"/>
  <c r="H48" i="5"/>
  <c r="J48" i="5" s="1"/>
  <c r="H64" i="5"/>
  <c r="H80" i="5"/>
  <c r="H96" i="5"/>
  <c r="H112" i="5"/>
  <c r="J112" i="5" s="1"/>
  <c r="H128" i="5"/>
  <c r="H144" i="5"/>
  <c r="H160" i="5"/>
  <c r="H176" i="5"/>
  <c r="H192" i="5"/>
  <c r="H208" i="5"/>
  <c r="H224" i="5"/>
  <c r="H240" i="5"/>
  <c r="J240" i="5" s="1"/>
  <c r="H256" i="5"/>
  <c r="H272" i="5"/>
  <c r="H288" i="5"/>
  <c r="H304" i="5"/>
  <c r="J304" i="5" s="1"/>
  <c r="H320" i="5"/>
  <c r="H2" i="5"/>
  <c r="H21" i="5"/>
  <c r="H37" i="5"/>
  <c r="J37" i="5" s="1"/>
  <c r="H53" i="5"/>
  <c r="J53" i="5" s="1"/>
  <c r="H69" i="5"/>
  <c r="H85" i="5"/>
  <c r="H101" i="5"/>
  <c r="J101" i="5" s="1"/>
  <c r="H117" i="5"/>
  <c r="J117" i="5" s="1"/>
  <c r="H133" i="5"/>
  <c r="H149" i="5"/>
  <c r="H165" i="5"/>
  <c r="J165" i="5" s="1"/>
  <c r="H181" i="5"/>
  <c r="J181" i="5" s="1"/>
  <c r="H197" i="5"/>
  <c r="J197" i="5" s="1"/>
  <c r="H213" i="5"/>
  <c r="H229" i="5"/>
  <c r="J229" i="5" s="1"/>
  <c r="H245" i="5"/>
  <c r="J245" i="5" s="1"/>
  <c r="H261" i="5"/>
  <c r="H277" i="5"/>
  <c r="H293" i="5"/>
  <c r="J293" i="5" s="1"/>
  <c r="H309" i="5"/>
  <c r="J309" i="5" s="1"/>
  <c r="H325" i="5"/>
  <c r="H5" i="5"/>
  <c r="H18" i="5"/>
  <c r="J18" i="5" s="1"/>
  <c r="H34" i="5"/>
  <c r="J34" i="5" s="1"/>
  <c r="H50" i="5"/>
  <c r="H66" i="5"/>
  <c r="H82" i="5"/>
  <c r="J82" i="5" s="1"/>
  <c r="H98" i="5"/>
  <c r="J98" i="5" s="1"/>
  <c r="H114" i="5"/>
  <c r="J114" i="5" s="1"/>
  <c r="H130" i="5"/>
  <c r="H146" i="5"/>
  <c r="J146" i="5" s="1"/>
  <c r="H162" i="5"/>
  <c r="J162" i="5" s="1"/>
  <c r="H178" i="5"/>
  <c r="H194" i="5"/>
  <c r="H210" i="5"/>
  <c r="J210" i="5" s="1"/>
  <c r="H226" i="5"/>
  <c r="J226" i="5" s="1"/>
  <c r="H242" i="5"/>
  <c r="J242" i="5" s="1"/>
  <c r="H258" i="5"/>
  <c r="H274" i="5"/>
  <c r="J274" i="5" s="1"/>
  <c r="H290" i="5"/>
  <c r="J290" i="5" s="1"/>
  <c r="H306" i="5"/>
  <c r="J306" i="5" s="1"/>
  <c r="H7" i="5"/>
  <c r="H199" i="5"/>
  <c r="J199" i="5" s="1"/>
  <c r="H11" i="5"/>
  <c r="J11" i="5" s="1"/>
  <c r="H75" i="5"/>
  <c r="H139" i="5"/>
  <c r="J139" i="5" s="1"/>
  <c r="H203" i="5"/>
  <c r="J203" i="5" s="1"/>
  <c r="H267" i="5"/>
  <c r="J267" i="5" s="1"/>
  <c r="H135" i="5"/>
  <c r="H47" i="5"/>
  <c r="J47" i="5" s="1"/>
  <c r="H111" i="5"/>
  <c r="J111" i="5" s="1"/>
  <c r="H175" i="5"/>
  <c r="H239" i="5"/>
  <c r="H23" i="5"/>
  <c r="H215" i="5"/>
  <c r="J215" i="5" s="1"/>
  <c r="H35" i="5"/>
  <c r="J35" i="5" s="1"/>
  <c r="H99" i="5"/>
  <c r="H163" i="5"/>
  <c r="J163" i="5" s="1"/>
  <c r="H227" i="5"/>
  <c r="J227" i="5" s="1"/>
  <c r="H291" i="5"/>
  <c r="J291" i="5" s="1"/>
  <c r="H4" i="5"/>
  <c r="H20" i="5"/>
  <c r="J20" i="5" s="1"/>
  <c r="H36" i="5"/>
  <c r="J36" i="5" s="1"/>
  <c r="H52" i="5"/>
  <c r="J52" i="5" s="1"/>
  <c r="H68" i="5"/>
  <c r="J68" i="5" s="1"/>
  <c r="H84" i="5"/>
  <c r="H100" i="5"/>
  <c r="J100" i="5" s="1"/>
  <c r="H116" i="5"/>
  <c r="J116" i="5" s="1"/>
  <c r="H132" i="5"/>
  <c r="H148" i="5"/>
  <c r="J148" i="5" s="1"/>
  <c r="H164" i="5"/>
  <c r="J164" i="5" s="1"/>
  <c r="H180" i="5"/>
  <c r="J180" i="5" s="1"/>
  <c r="H196" i="5"/>
  <c r="H212" i="5"/>
  <c r="J212" i="5" s="1"/>
  <c r="H228" i="5"/>
  <c r="J228" i="5" s="1"/>
  <c r="H244" i="5"/>
  <c r="J244" i="5" s="1"/>
  <c r="H260" i="5"/>
  <c r="J260" i="5" s="1"/>
  <c r="H276" i="5"/>
  <c r="J276" i="5" s="1"/>
  <c r="H292" i="5"/>
  <c r="J292" i="5" s="1"/>
  <c r="H308" i="5"/>
  <c r="J308" i="5" s="1"/>
  <c r="H324" i="5"/>
  <c r="J324" i="5" s="1"/>
  <c r="H9" i="5"/>
  <c r="J9" i="5" s="1"/>
  <c r="H25" i="5"/>
  <c r="J25" i="5" s="1"/>
  <c r="H41" i="5"/>
  <c r="J41" i="5" s="1"/>
  <c r="H57" i="5"/>
  <c r="J57" i="5" s="1"/>
  <c r="H73" i="5"/>
  <c r="J73" i="5" s="1"/>
  <c r="H89" i="5"/>
  <c r="J89" i="5" s="1"/>
  <c r="H105" i="5"/>
  <c r="J105" i="5" s="1"/>
  <c r="H121" i="5"/>
  <c r="J121" i="5" s="1"/>
  <c r="H137" i="5"/>
  <c r="J137" i="5" s="1"/>
  <c r="H153" i="5"/>
  <c r="J153" i="5" s="1"/>
  <c r="H169" i="5"/>
  <c r="J169" i="5" s="1"/>
  <c r="H185" i="5"/>
  <c r="H201" i="5"/>
  <c r="J201" i="5" s="1"/>
  <c r="H217" i="5"/>
  <c r="J217" i="5" s="1"/>
  <c r="H233" i="5"/>
  <c r="J233" i="5" s="1"/>
  <c r="H249" i="5"/>
  <c r="J249" i="5" s="1"/>
  <c r="H265" i="5"/>
  <c r="J265" i="5" s="1"/>
  <c r="H281" i="5"/>
  <c r="J281" i="5" s="1"/>
  <c r="H297" i="5"/>
  <c r="J297" i="5" s="1"/>
  <c r="H313" i="5"/>
  <c r="J313" i="5" s="1"/>
  <c r="H303" i="5"/>
  <c r="J303" i="5" s="1"/>
  <c r="H6" i="5"/>
  <c r="J6" i="5" s="1"/>
  <c r="H22" i="5"/>
  <c r="J22" i="5" s="1"/>
  <c r="H38" i="5"/>
  <c r="J38" i="5" s="1"/>
  <c r="H54" i="5"/>
  <c r="J54" i="5" s="1"/>
  <c r="H70" i="5"/>
  <c r="J70" i="5" s="1"/>
  <c r="H86" i="5"/>
  <c r="J86" i="5" s="1"/>
  <c r="H102" i="5"/>
  <c r="J102" i="5" s="1"/>
  <c r="H118" i="5"/>
  <c r="J118" i="5" s="1"/>
  <c r="H134" i="5"/>
  <c r="J134" i="5" s="1"/>
  <c r="H150" i="5"/>
  <c r="J150" i="5" s="1"/>
  <c r="H166" i="5"/>
  <c r="J166" i="5" s="1"/>
  <c r="H182" i="5"/>
  <c r="J182" i="5" s="1"/>
  <c r="H198" i="5"/>
  <c r="J198" i="5" s="1"/>
  <c r="H214" i="5"/>
  <c r="J214" i="5" s="1"/>
  <c r="H230" i="5"/>
  <c r="J230" i="5" s="1"/>
  <c r="H246" i="5"/>
  <c r="J246" i="5" s="1"/>
  <c r="H262" i="5"/>
  <c r="J262" i="5" s="1"/>
  <c r="H278" i="5"/>
  <c r="J278" i="5" s="1"/>
  <c r="H294" i="5"/>
  <c r="J294" i="5" s="1"/>
  <c r="H310" i="5"/>
  <c r="J310" i="5" s="1"/>
  <c r="H326" i="5"/>
  <c r="J326" i="5" s="1"/>
  <c r="J85" i="5"/>
  <c r="J250" i="5"/>
  <c r="J40" i="5"/>
  <c r="J296" i="5"/>
  <c r="J178" i="5"/>
  <c r="J195" i="5"/>
  <c r="J92" i="5"/>
  <c r="J284" i="5"/>
  <c r="J77" i="5"/>
  <c r="J205" i="5"/>
  <c r="J270" i="5"/>
  <c r="J135" i="5"/>
  <c r="J263" i="5"/>
  <c r="J96" i="5"/>
  <c r="J224" i="5"/>
  <c r="J17" i="5"/>
  <c r="J145" i="5"/>
  <c r="J285" i="5"/>
  <c r="J238" i="5"/>
  <c r="J299" i="5"/>
  <c r="J155" i="5"/>
  <c r="J66" i="5"/>
  <c r="J171" i="5"/>
  <c r="J132" i="5"/>
  <c r="J321" i="5"/>
  <c r="J23" i="5"/>
  <c r="J5" i="5"/>
  <c r="J277" i="5"/>
  <c r="J123" i="5"/>
  <c r="J149" i="5"/>
  <c r="J254" i="5"/>
  <c r="J27" i="5"/>
  <c r="J95" i="5"/>
  <c r="J223" i="5"/>
  <c r="J287" i="5"/>
  <c r="J56" i="5"/>
  <c r="J120" i="5"/>
  <c r="J184" i="5"/>
  <c r="J248" i="5"/>
  <c r="J312" i="5"/>
  <c r="J138" i="5"/>
  <c r="J74" i="5"/>
  <c r="J323" i="5"/>
  <c r="J15" i="5"/>
  <c r="J79" i="5"/>
  <c r="J147" i="5"/>
  <c r="J211" i="5"/>
  <c r="J44" i="5"/>
  <c r="J108" i="5"/>
  <c r="J172" i="5"/>
  <c r="J236" i="5"/>
  <c r="J300" i="5"/>
  <c r="J29" i="5"/>
  <c r="J93" i="5"/>
  <c r="J157" i="5"/>
  <c r="J221" i="5"/>
  <c r="J50" i="5"/>
  <c r="J186" i="5"/>
  <c r="J311" i="5"/>
  <c r="J314" i="5"/>
  <c r="J83" i="5"/>
  <c r="J151" i="5"/>
  <c r="J176" i="5"/>
  <c r="J33" i="5"/>
  <c r="J97" i="5"/>
  <c r="J161" i="5"/>
  <c r="J225" i="5"/>
  <c r="J301" i="5"/>
  <c r="J122" i="5"/>
  <c r="J58" i="5"/>
  <c r="J315" i="5"/>
  <c r="J107" i="5"/>
  <c r="J7" i="5"/>
  <c r="J143" i="5"/>
  <c r="J104" i="5"/>
  <c r="J232" i="5"/>
  <c r="J46" i="5"/>
  <c r="J131" i="5"/>
  <c r="J259" i="5"/>
  <c r="J156" i="5"/>
  <c r="J13" i="5"/>
  <c r="J141" i="5"/>
  <c r="J87" i="5"/>
  <c r="J32" i="5"/>
  <c r="J160" i="5"/>
  <c r="J288" i="5"/>
  <c r="J81" i="5"/>
  <c r="J209" i="5"/>
  <c r="J282" i="5"/>
  <c r="J3" i="5"/>
  <c r="J235" i="5"/>
  <c r="J196" i="5"/>
  <c r="J219" i="5"/>
  <c r="J84" i="5"/>
  <c r="J69" i="5"/>
  <c r="J187" i="5"/>
  <c r="J71" i="5"/>
  <c r="J213" i="5"/>
  <c r="J319" i="5"/>
  <c r="J43" i="5"/>
  <c r="J175" i="5"/>
  <c r="J239" i="5"/>
  <c r="J264" i="5"/>
  <c r="J185" i="5"/>
  <c r="J325" i="5"/>
  <c r="J14" i="5"/>
  <c r="J110" i="5"/>
  <c r="J202" i="5"/>
  <c r="J31" i="5"/>
  <c r="J99" i="5"/>
  <c r="J45" i="5"/>
  <c r="J109" i="5"/>
  <c r="J173" i="5"/>
  <c r="J237" i="5"/>
  <c r="J322" i="5"/>
  <c r="J2" i="5"/>
  <c r="J103" i="5"/>
  <c r="J167" i="5"/>
  <c r="J231" i="5"/>
  <c r="J64" i="5"/>
  <c r="J128" i="5"/>
  <c r="J192" i="5"/>
  <c r="J256" i="5"/>
  <c r="J320" i="5"/>
  <c r="J154" i="5"/>
  <c r="J90" i="5"/>
  <c r="J174" i="5"/>
  <c r="J302" i="5"/>
  <c r="J55" i="5"/>
  <c r="J26" i="5"/>
  <c r="J75" i="5"/>
  <c r="J271" i="5"/>
  <c r="J168" i="5"/>
  <c r="J266" i="5"/>
  <c r="J63" i="5"/>
  <c r="J28" i="5"/>
  <c r="J220" i="5"/>
  <c r="J130" i="5"/>
  <c r="J4" i="5"/>
  <c r="J10" i="5"/>
  <c r="J133" i="5"/>
  <c r="J206" i="5"/>
  <c r="J283" i="5"/>
  <c r="J21" i="5"/>
  <c r="J289" i="5"/>
  <c r="J59" i="5"/>
  <c r="J127" i="5"/>
  <c r="J191" i="5"/>
  <c r="J255" i="5"/>
  <c r="J24" i="5"/>
  <c r="J88" i="5"/>
  <c r="J152" i="5"/>
  <c r="J216" i="5"/>
  <c r="J280" i="5"/>
  <c r="J273" i="5"/>
  <c r="J78" i="5"/>
  <c r="J218" i="5"/>
  <c r="J142" i="5"/>
  <c r="J318" i="5"/>
  <c r="J258" i="5"/>
  <c r="J190" i="5"/>
  <c r="J179" i="5"/>
  <c r="J243" i="5"/>
  <c r="J12" i="5"/>
  <c r="J76" i="5"/>
  <c r="J140" i="5"/>
  <c r="J204" i="5"/>
  <c r="J268" i="5"/>
  <c r="J261" i="5"/>
  <c r="J257" i="5"/>
  <c r="J51" i="5"/>
  <c r="J119" i="5"/>
  <c r="J247" i="5"/>
  <c r="J16" i="5"/>
  <c r="J80" i="5"/>
  <c r="J144" i="5"/>
  <c r="J208" i="5"/>
  <c r="J272" i="5"/>
  <c r="J269" i="5"/>
  <c r="J65" i="5"/>
  <c r="J129" i="5"/>
  <c r="J193" i="5"/>
  <c r="J62" i="5"/>
  <c r="J194" i="5"/>
  <c r="J126" i="5"/>
  <c r="N3" i="4"/>
  <c r="N4" i="4" s="1"/>
  <c r="N5" i="4" s="1"/>
  <c r="N6" i="4" s="1"/>
  <c r="N7" i="4" s="1"/>
  <c r="N8" i="4" s="1"/>
  <c r="N9" i="4" s="1"/>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N53" i="4" s="1"/>
  <c r="N54" i="4" s="1"/>
  <c r="N55" i="4" s="1"/>
  <c r="N56" i="4" s="1"/>
  <c r="N57" i="4" s="1"/>
  <c r="N58" i="4" s="1"/>
  <c r="N59" i="4" s="1"/>
  <c r="N60" i="4" s="1"/>
  <c r="N61" i="4" s="1"/>
  <c r="N62" i="4" s="1"/>
  <c r="N63" i="4" s="1"/>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N94" i="4" s="1"/>
  <c r="N95" i="4" s="1"/>
  <c r="N96" i="4" s="1"/>
  <c r="N97" i="4" s="1"/>
  <c r="N98" i="4" s="1"/>
  <c r="N99" i="4" s="1"/>
  <c r="N100" i="4" s="1"/>
  <c r="N101" i="4" s="1"/>
  <c r="N102" i="4" s="1"/>
  <c r="N103" i="4" s="1"/>
  <c r="N104" i="4" s="1"/>
  <c r="N105" i="4" s="1"/>
  <c r="N106" i="4" s="1"/>
  <c r="N107" i="4" s="1"/>
  <c r="N108" i="4" s="1"/>
  <c r="N109" i="4" s="1"/>
  <c r="N110" i="4" s="1"/>
  <c r="N111" i="4" s="1"/>
  <c r="N112" i="4" s="1"/>
  <c r="N113" i="4" s="1"/>
  <c r="N114" i="4" s="1"/>
  <c r="N115" i="4" s="1"/>
  <c r="N116" i="4" s="1"/>
  <c r="N117" i="4" s="1"/>
  <c r="N118" i="4" s="1"/>
  <c r="N119" i="4" s="1"/>
  <c r="N120" i="4" s="1"/>
  <c r="N121" i="4" s="1"/>
  <c r="N122" i="4" s="1"/>
  <c r="N123" i="4" s="1"/>
  <c r="N124" i="4" s="1"/>
  <c r="N125" i="4" s="1"/>
  <c r="N126" i="4" s="1"/>
  <c r="N127" i="4" s="1"/>
  <c r="N128" i="4" s="1"/>
  <c r="N129" i="4" s="1"/>
  <c r="N130" i="4" s="1"/>
  <c r="N131" i="4" s="1"/>
  <c r="N132" i="4" s="1"/>
  <c r="N133" i="4" s="1"/>
  <c r="N134" i="4" s="1"/>
  <c r="N135" i="4" s="1"/>
  <c r="N136" i="4" s="1"/>
  <c r="N137" i="4" s="1"/>
  <c r="N138" i="4" s="1"/>
  <c r="N139" i="4" s="1"/>
  <c r="N140" i="4" s="1"/>
  <c r="N141" i="4" s="1"/>
  <c r="N142" i="4" s="1"/>
  <c r="N143" i="4" s="1"/>
  <c r="N144" i="4" s="1"/>
  <c r="N145" i="4" s="1"/>
  <c r="N146" i="4" s="1"/>
  <c r="N147" i="4" s="1"/>
  <c r="N148" i="4" s="1"/>
  <c r="N149" i="4" s="1"/>
  <c r="N150" i="4" s="1"/>
  <c r="N151" i="4" s="1"/>
  <c r="N152" i="4" s="1"/>
  <c r="N153" i="4" s="1"/>
  <c r="N154" i="4" s="1"/>
  <c r="N155" i="4" s="1"/>
  <c r="N156" i="4" s="1"/>
  <c r="N157" i="4" s="1"/>
  <c r="N158" i="4" s="1"/>
  <c r="N159" i="4" s="1"/>
  <c r="N160" i="4" s="1"/>
  <c r="N161" i="4" s="1"/>
  <c r="N162" i="4" s="1"/>
  <c r="N163" i="4" s="1"/>
  <c r="N164" i="4" s="1"/>
  <c r="N165" i="4" s="1"/>
  <c r="N166" i="4" s="1"/>
  <c r="N167" i="4" s="1"/>
  <c r="N168" i="4" s="1"/>
  <c r="N169" i="4" s="1"/>
  <c r="N170" i="4" s="1"/>
  <c r="N171" i="4" s="1"/>
  <c r="N172" i="4" s="1"/>
  <c r="N173" i="4" s="1"/>
  <c r="N174" i="4" s="1"/>
  <c r="N175" i="4" s="1"/>
  <c r="N176" i="4" s="1"/>
  <c r="N177" i="4" s="1"/>
  <c r="N178" i="4" s="1"/>
  <c r="N179" i="4" s="1"/>
  <c r="N180" i="4" s="1"/>
  <c r="N181" i="4" s="1"/>
  <c r="N182" i="4" s="1"/>
  <c r="N183" i="4" s="1"/>
  <c r="N184" i="4" s="1"/>
  <c r="N185" i="4" s="1"/>
  <c r="N186" i="4" s="1"/>
  <c r="N187" i="4" s="1"/>
  <c r="N188" i="4" s="1"/>
  <c r="N189" i="4" s="1"/>
  <c r="N190" i="4" s="1"/>
  <c r="N191" i="4" s="1"/>
  <c r="N192" i="4" s="1"/>
  <c r="N193" i="4" s="1"/>
  <c r="N194" i="4" s="1"/>
  <c r="N195" i="4" s="1"/>
  <c r="N196" i="4" s="1"/>
  <c r="N197" i="4" s="1"/>
  <c r="N198" i="4" s="1"/>
  <c r="N199" i="4" s="1"/>
  <c r="N200" i="4" s="1"/>
  <c r="N201" i="4" s="1"/>
  <c r="N202" i="4" s="1"/>
  <c r="N203" i="4" s="1"/>
  <c r="N204" i="4" s="1"/>
  <c r="N205" i="4" s="1"/>
  <c r="N206" i="4" s="1"/>
  <c r="N207" i="4" s="1"/>
  <c r="N208" i="4" s="1"/>
  <c r="N209" i="4" s="1"/>
  <c r="N210" i="4" s="1"/>
  <c r="N211" i="4" s="1"/>
  <c r="N212" i="4" s="1"/>
  <c r="N213" i="4" s="1"/>
  <c r="N214" i="4" s="1"/>
  <c r="N215" i="4" s="1"/>
  <c r="N216" i="4" s="1"/>
  <c r="N217" i="4" s="1"/>
  <c r="N218" i="4" s="1"/>
  <c r="N219" i="4" s="1"/>
  <c r="N220" i="4" s="1"/>
  <c r="N221" i="4" s="1"/>
  <c r="N222" i="4" s="1"/>
  <c r="N223" i="4" s="1"/>
  <c r="N224" i="4" s="1"/>
  <c r="N225" i="4" s="1"/>
  <c r="N226" i="4" s="1"/>
  <c r="N227" i="4" s="1"/>
  <c r="N228" i="4" s="1"/>
  <c r="N229" i="4" s="1"/>
  <c r="N230" i="4" s="1"/>
  <c r="N231" i="4" s="1"/>
  <c r="N232" i="4" s="1"/>
  <c r="N233" i="4" s="1"/>
  <c r="N234" i="4" s="1"/>
  <c r="N235" i="4" s="1"/>
  <c r="N236" i="4" s="1"/>
  <c r="N237" i="4" s="1"/>
  <c r="N238" i="4" s="1"/>
  <c r="N239" i="4" s="1"/>
  <c r="N240" i="4" s="1"/>
  <c r="N241" i="4" s="1"/>
  <c r="N242" i="4" s="1"/>
  <c r="N243" i="4" s="1"/>
  <c r="N244" i="4" s="1"/>
  <c r="N245" i="4" s="1"/>
  <c r="N246" i="4" s="1"/>
  <c r="N247" i="4" s="1"/>
  <c r="N248" i="4" s="1"/>
  <c r="N249" i="4" s="1"/>
  <c r="N250" i="4" s="1"/>
  <c r="N251" i="4" s="1"/>
  <c r="N252" i="4" s="1"/>
  <c r="N253" i="4" s="1"/>
  <c r="N254" i="4" s="1"/>
  <c r="N255" i="4" s="1"/>
  <c r="N256" i="4" s="1"/>
  <c r="N257" i="4" s="1"/>
  <c r="N258" i="4" s="1"/>
  <c r="N259" i="4" s="1"/>
  <c r="N260" i="4" s="1"/>
  <c r="N261" i="4" s="1"/>
  <c r="N262" i="4" s="1"/>
  <c r="N263" i="4" s="1"/>
  <c r="N264" i="4" s="1"/>
  <c r="N265" i="4" s="1"/>
  <c r="N266" i="4" s="1"/>
  <c r="N267" i="4" s="1"/>
  <c r="N268" i="4" s="1"/>
  <c r="N269" i="4" s="1"/>
  <c r="N270" i="4" s="1"/>
  <c r="N271" i="4" s="1"/>
  <c r="N272" i="4" s="1"/>
  <c r="N273" i="4" s="1"/>
  <c r="N274" i="4" s="1"/>
  <c r="N275" i="4" s="1"/>
  <c r="N276" i="4" s="1"/>
  <c r="N277" i="4" s="1"/>
  <c r="N278" i="4" s="1"/>
  <c r="N279" i="4" s="1"/>
  <c r="N280" i="4" s="1"/>
  <c r="N281" i="4" s="1"/>
  <c r="N282" i="4" s="1"/>
  <c r="N283" i="4" s="1"/>
  <c r="N284" i="4" s="1"/>
  <c r="N285" i="4" s="1"/>
  <c r="N286" i="4" s="1"/>
  <c r="N287" i="4" s="1"/>
  <c r="N288" i="4" s="1"/>
  <c r="N289" i="4" s="1"/>
  <c r="N290" i="4" s="1"/>
  <c r="N291" i="4" s="1"/>
  <c r="N292" i="4" s="1"/>
  <c r="N293" i="4" s="1"/>
  <c r="N294" i="4" s="1"/>
  <c r="N295" i="4" s="1"/>
  <c r="N296" i="4" s="1"/>
  <c r="N297" i="4" s="1"/>
  <c r="N298" i="4" s="1"/>
  <c r="N299" i="4" s="1"/>
  <c r="N300" i="4" s="1"/>
  <c r="N301" i="4" s="1"/>
  <c r="N302" i="4" s="1"/>
  <c r="N303" i="4" s="1"/>
  <c r="N304" i="4" s="1"/>
  <c r="N305" i="4" s="1"/>
  <c r="N306" i="4" s="1"/>
  <c r="N307" i="4" s="1"/>
  <c r="N308" i="4" s="1"/>
  <c r="N309" i="4" s="1"/>
  <c r="N310" i="4" s="1"/>
  <c r="N311" i="4" s="1"/>
  <c r="N312" i="4" s="1"/>
  <c r="N313" i="4" s="1"/>
  <c r="N314" i="4" s="1"/>
  <c r="N315" i="4" s="1"/>
  <c r="N316" i="4" s="1"/>
  <c r="N317" i="4" s="1"/>
  <c r="N318" i="4" s="1"/>
  <c r="N319" i="4" s="1"/>
  <c r="N320" i="4" s="1"/>
  <c r="N321" i="4" s="1"/>
  <c r="N322" i="4" s="1"/>
  <c r="N323" i="4" s="1"/>
  <c r="N324" i="4" s="1"/>
  <c r="N325" i="4" s="1"/>
  <c r="N326" i="4" s="1"/>
  <c r="C10" i="6" s="1"/>
  <c r="K189" i="5" l="1"/>
  <c r="K22" i="5"/>
  <c r="N22" i="5" s="1"/>
  <c r="K121" i="5"/>
  <c r="K153" i="5"/>
  <c r="K185" i="5"/>
  <c r="K10" i="5"/>
  <c r="N10" i="5" s="1"/>
  <c r="K323" i="5"/>
  <c r="K307" i="5"/>
  <c r="K291" i="5"/>
  <c r="K275" i="5"/>
  <c r="K316" i="5"/>
  <c r="K300" i="5"/>
  <c r="K284" i="5"/>
  <c r="K269" i="5"/>
  <c r="K309" i="5"/>
  <c r="K293" i="5"/>
  <c r="K277" i="5"/>
  <c r="K254" i="5"/>
  <c r="K238" i="5"/>
  <c r="K228" i="5"/>
  <c r="K220" i="5"/>
  <c r="K212" i="5"/>
  <c r="K314" i="5"/>
  <c r="K267" i="5"/>
  <c r="K251" i="5"/>
  <c r="K235" i="5"/>
  <c r="K278" i="5"/>
  <c r="K265" i="5"/>
  <c r="K249" i="5"/>
  <c r="K233" i="5"/>
  <c r="K225" i="5"/>
  <c r="K239" i="5"/>
  <c r="K202" i="5"/>
  <c r="K194" i="5"/>
  <c r="K318" i="5"/>
  <c r="K207" i="5"/>
  <c r="K199" i="5"/>
  <c r="K176" i="5"/>
  <c r="K160" i="5"/>
  <c r="K144" i="5"/>
  <c r="K128" i="5"/>
  <c r="K112" i="5"/>
  <c r="K102" i="5"/>
  <c r="K94" i="5"/>
  <c r="K86" i="5"/>
  <c r="K78" i="5"/>
  <c r="K70" i="5"/>
  <c r="K62" i="5"/>
  <c r="K54" i="5"/>
  <c r="K46" i="5"/>
  <c r="K38" i="5"/>
  <c r="K30" i="5"/>
  <c r="N30" i="5" s="1"/>
  <c r="K310" i="5"/>
  <c r="K193" i="5"/>
  <c r="K173" i="5"/>
  <c r="K157" i="5"/>
  <c r="K141" i="5"/>
  <c r="K125" i="5"/>
  <c r="K109" i="5"/>
  <c r="K67" i="5"/>
  <c r="K51" i="5"/>
  <c r="K35" i="5"/>
  <c r="N35" i="5" s="1"/>
  <c r="K21" i="5"/>
  <c r="N21" i="5" s="1"/>
  <c r="K5" i="5"/>
  <c r="N5" i="5" s="1"/>
  <c r="K217" i="5"/>
  <c r="K187" i="5"/>
  <c r="K171" i="5"/>
  <c r="K155" i="5"/>
  <c r="K139" i="5"/>
  <c r="K123" i="5"/>
  <c r="K14" i="5"/>
  <c r="N14" i="5" s="1"/>
  <c r="K129" i="5"/>
  <c r="K161" i="5"/>
  <c r="K20" i="5"/>
  <c r="N20" i="5" s="1"/>
  <c r="K18" i="5"/>
  <c r="N18" i="5" s="1"/>
  <c r="K319" i="5"/>
  <c r="K303" i="5"/>
  <c r="K287" i="5"/>
  <c r="K271" i="5"/>
  <c r="K312" i="5"/>
  <c r="K296" i="5"/>
  <c r="K280" i="5"/>
  <c r="K321" i="5"/>
  <c r="K305" i="5"/>
  <c r="K289" i="5"/>
  <c r="K273" i="5"/>
  <c r="K253" i="5"/>
  <c r="K237" i="5"/>
  <c r="K226" i="5"/>
  <c r="K218" i="5"/>
  <c r="K210" i="5"/>
  <c r="K306" i="5"/>
  <c r="K260" i="5"/>
  <c r="K244" i="5"/>
  <c r="K290" i="5"/>
  <c r="K274" i="5"/>
  <c r="K258" i="5"/>
  <c r="K242" i="5"/>
  <c r="K231" i="5"/>
  <c r="K263" i="5"/>
  <c r="K221" i="5"/>
  <c r="K200" i="5"/>
  <c r="K192" i="5"/>
  <c r="K302" i="5"/>
  <c r="K240" i="5"/>
  <c r="K191" i="5"/>
  <c r="K175" i="5"/>
  <c r="K159" i="5"/>
  <c r="K143" i="5"/>
  <c r="K127" i="5"/>
  <c r="K111" i="5"/>
  <c r="K100" i="5"/>
  <c r="K92" i="5"/>
  <c r="K84" i="5"/>
  <c r="K76" i="5"/>
  <c r="K68" i="5"/>
  <c r="K60" i="5"/>
  <c r="K52" i="5"/>
  <c r="K44" i="5"/>
  <c r="K36" i="5"/>
  <c r="N36" i="5" s="1"/>
  <c r="K28" i="5"/>
  <c r="N28" i="5" s="1"/>
  <c r="K264" i="5"/>
  <c r="K182" i="5"/>
  <c r="K166" i="5"/>
  <c r="K150" i="5"/>
  <c r="K134" i="5"/>
  <c r="K118" i="5"/>
  <c r="K77" i="5"/>
  <c r="K63" i="5"/>
  <c r="K47" i="5"/>
  <c r="K31" i="5"/>
  <c r="N31" i="5" s="1"/>
  <c r="K17" i="5"/>
  <c r="N17" i="5" s="1"/>
  <c r="K294" i="5"/>
  <c r="K209" i="5"/>
  <c r="K180" i="5"/>
  <c r="K164" i="5"/>
  <c r="K148" i="5"/>
  <c r="K132" i="5"/>
  <c r="K116" i="5"/>
  <c r="K105" i="5"/>
  <c r="K97" i="5"/>
  <c r="K89" i="5"/>
  <c r="K81" i="5"/>
  <c r="K65" i="5"/>
  <c r="K49" i="5"/>
  <c r="K33" i="5"/>
  <c r="N33" i="5" s="1"/>
  <c r="K15" i="5"/>
  <c r="N15" i="5" s="1"/>
  <c r="K248" i="5"/>
  <c r="K8" i="5"/>
  <c r="N8" i="5" s="1"/>
  <c r="K130" i="5"/>
  <c r="K162" i="5"/>
  <c r="K137" i="5"/>
  <c r="K113" i="5"/>
  <c r="K315" i="5"/>
  <c r="K283" i="5"/>
  <c r="K308" i="5"/>
  <c r="K6" i="5"/>
  <c r="N6" i="5" s="1"/>
  <c r="K169" i="5"/>
  <c r="K325" i="5"/>
  <c r="K299" i="5"/>
  <c r="K324" i="5"/>
  <c r="K145" i="5"/>
  <c r="K311" i="5"/>
  <c r="K304" i="5"/>
  <c r="K272" i="5"/>
  <c r="K297" i="5"/>
  <c r="K261" i="5"/>
  <c r="K230" i="5"/>
  <c r="K214" i="5"/>
  <c r="K268" i="5"/>
  <c r="K236" i="5"/>
  <c r="K266" i="5"/>
  <c r="K234" i="5"/>
  <c r="K247" i="5"/>
  <c r="K196" i="5"/>
  <c r="K215" i="5"/>
  <c r="K183" i="5"/>
  <c r="K151" i="5"/>
  <c r="K119" i="5"/>
  <c r="K96" i="5"/>
  <c r="K80" i="5"/>
  <c r="K64" i="5"/>
  <c r="K48" i="5"/>
  <c r="K32" i="5"/>
  <c r="N32" i="5" s="1"/>
  <c r="K201" i="5"/>
  <c r="K158" i="5"/>
  <c r="K126" i="5"/>
  <c r="K71" i="5"/>
  <c r="K39" i="5"/>
  <c r="K7" i="5"/>
  <c r="N7" i="5" s="1"/>
  <c r="K195" i="5"/>
  <c r="K156" i="5"/>
  <c r="K124" i="5"/>
  <c r="K103" i="5"/>
  <c r="K93" i="5"/>
  <c r="K83" i="5"/>
  <c r="K61" i="5"/>
  <c r="K41" i="5"/>
  <c r="K19" i="5"/>
  <c r="N19" i="5" s="1"/>
  <c r="K197" i="5"/>
  <c r="K114" i="5"/>
  <c r="K154" i="5"/>
  <c r="K243" i="5"/>
  <c r="K223" i="5"/>
  <c r="K120" i="5"/>
  <c r="K66" i="5"/>
  <c r="K206" i="5"/>
  <c r="K75" i="5"/>
  <c r="K203" i="5"/>
  <c r="K107" i="5"/>
  <c r="K69" i="5"/>
  <c r="K3" i="5"/>
  <c r="N3" i="5" s="1"/>
  <c r="K146" i="5"/>
  <c r="K177" i="5"/>
  <c r="K295" i="5"/>
  <c r="K292" i="5"/>
  <c r="K317" i="5"/>
  <c r="K285" i="5"/>
  <c r="K246" i="5"/>
  <c r="K224" i="5"/>
  <c r="K208" i="5"/>
  <c r="K259" i="5"/>
  <c r="K286" i="5"/>
  <c r="K257" i="5"/>
  <c r="K229" i="5"/>
  <c r="K213" i="5"/>
  <c r="K190" i="5"/>
  <c r="K219" i="5"/>
  <c r="K168" i="5"/>
  <c r="K136" i="5"/>
  <c r="K106" i="5"/>
  <c r="K90" i="5"/>
  <c r="K74" i="5"/>
  <c r="K58" i="5"/>
  <c r="K42" i="5"/>
  <c r="K26" i="5"/>
  <c r="N26" i="5" s="1"/>
  <c r="K181" i="5"/>
  <c r="K149" i="5"/>
  <c r="K117" i="5"/>
  <c r="K59" i="5"/>
  <c r="K27" i="5"/>
  <c r="N27" i="5" s="1"/>
  <c r="K205" i="5"/>
  <c r="K179" i="5"/>
  <c r="K147" i="5"/>
  <c r="K115" i="5"/>
  <c r="K101" i="5"/>
  <c r="K91" i="5"/>
  <c r="K79" i="5"/>
  <c r="K57" i="5"/>
  <c r="K37" i="5"/>
  <c r="N37" i="5" s="1"/>
  <c r="K13" i="5"/>
  <c r="N13" i="5" s="1"/>
  <c r="K4" i="5"/>
  <c r="N4" i="5" s="1"/>
  <c r="K122" i="5"/>
  <c r="K170" i="5"/>
  <c r="K320" i="5"/>
  <c r="K276" i="5"/>
  <c r="K262" i="5"/>
  <c r="K216" i="5"/>
  <c r="K270" i="5"/>
  <c r="K255" i="5"/>
  <c r="K184" i="5"/>
  <c r="K82" i="5"/>
  <c r="K34" i="5"/>
  <c r="N34" i="5" s="1"/>
  <c r="K133" i="5"/>
  <c r="K43" i="5"/>
  <c r="K163" i="5"/>
  <c r="K95" i="5"/>
  <c r="K45" i="5"/>
  <c r="K16" i="5"/>
  <c r="N16" i="5" s="1"/>
  <c r="K2" i="5"/>
  <c r="N2" i="5" s="1"/>
  <c r="K279" i="5"/>
  <c r="K288" i="5"/>
  <c r="K313" i="5"/>
  <c r="K281" i="5"/>
  <c r="K245" i="5"/>
  <c r="K222" i="5"/>
  <c r="K322" i="5"/>
  <c r="K252" i="5"/>
  <c r="K282" i="5"/>
  <c r="K250" i="5"/>
  <c r="K227" i="5"/>
  <c r="K204" i="5"/>
  <c r="K188" i="5"/>
  <c r="K211" i="5"/>
  <c r="K167" i="5"/>
  <c r="K135" i="5"/>
  <c r="K104" i="5"/>
  <c r="K88" i="5"/>
  <c r="K72" i="5"/>
  <c r="K56" i="5"/>
  <c r="K40" i="5"/>
  <c r="K24" i="5"/>
  <c r="N24" i="5" s="1"/>
  <c r="K174" i="5"/>
  <c r="K142" i="5"/>
  <c r="K110" i="5"/>
  <c r="K55" i="5"/>
  <c r="K23" i="5"/>
  <c r="N23" i="5" s="1"/>
  <c r="K256" i="5"/>
  <c r="K172" i="5"/>
  <c r="K140" i="5"/>
  <c r="K108" i="5"/>
  <c r="K99" i="5"/>
  <c r="K87" i="5"/>
  <c r="K73" i="5"/>
  <c r="K53" i="5"/>
  <c r="K29" i="5"/>
  <c r="N29" i="5" s="1"/>
  <c r="K9" i="5"/>
  <c r="N9" i="5" s="1"/>
  <c r="K12" i="5"/>
  <c r="N12" i="5" s="1"/>
  <c r="K138" i="5"/>
  <c r="K178" i="5"/>
  <c r="K326" i="5"/>
  <c r="K301" i="5"/>
  <c r="K232" i="5"/>
  <c r="K298" i="5"/>
  <c r="K241" i="5"/>
  <c r="K198" i="5"/>
  <c r="K152" i="5"/>
  <c r="K98" i="5"/>
  <c r="K50" i="5"/>
  <c r="K165" i="5"/>
  <c r="K11" i="5"/>
  <c r="N11" i="5" s="1"/>
  <c r="K131" i="5"/>
  <c r="K85" i="5"/>
  <c r="K25" i="5"/>
  <c r="N25" i="5" s="1"/>
  <c r="K186" i="5"/>
  <c r="O165" i="5" l="1"/>
  <c r="N165" i="5"/>
  <c r="O12" i="5"/>
  <c r="O55" i="5"/>
  <c r="N55" i="5"/>
  <c r="O211" i="5"/>
  <c r="N211" i="5"/>
  <c r="O288" i="5"/>
  <c r="N288" i="5"/>
  <c r="O4" i="5"/>
  <c r="O147" i="5"/>
  <c r="N147" i="5"/>
  <c r="N90" i="5"/>
  <c r="O90" i="5"/>
  <c r="O292" i="5"/>
  <c r="N292" i="5"/>
  <c r="O197" i="5"/>
  <c r="N197" i="5"/>
  <c r="O156" i="5"/>
  <c r="N156" i="5"/>
  <c r="O215" i="5"/>
  <c r="N215" i="5"/>
  <c r="O304" i="5"/>
  <c r="N304" i="5"/>
  <c r="O308" i="5"/>
  <c r="N308" i="5"/>
  <c r="O248" i="5"/>
  <c r="N248" i="5"/>
  <c r="O105" i="5"/>
  <c r="N105" i="5"/>
  <c r="O77" i="5"/>
  <c r="N77" i="5"/>
  <c r="O68" i="5"/>
  <c r="N68" i="5"/>
  <c r="O302" i="5"/>
  <c r="N302" i="5"/>
  <c r="O306" i="5"/>
  <c r="N306" i="5"/>
  <c r="O312" i="5"/>
  <c r="N312" i="5"/>
  <c r="O129" i="5"/>
  <c r="N129" i="5"/>
  <c r="O67" i="5"/>
  <c r="N67" i="5"/>
  <c r="O62" i="5"/>
  <c r="N62" i="5"/>
  <c r="O207" i="5"/>
  <c r="N207" i="5"/>
  <c r="O267" i="5"/>
  <c r="N267" i="5"/>
  <c r="O293" i="5"/>
  <c r="N293" i="5"/>
  <c r="O153" i="5"/>
  <c r="N153" i="5"/>
  <c r="O9" i="5"/>
  <c r="O172" i="5"/>
  <c r="N172" i="5"/>
  <c r="O110" i="5"/>
  <c r="N110" i="5"/>
  <c r="O40" i="5"/>
  <c r="N40" i="5"/>
  <c r="O104" i="5"/>
  <c r="N104" i="5"/>
  <c r="O188" i="5"/>
  <c r="N188" i="5"/>
  <c r="N282" i="5"/>
  <c r="O282" i="5"/>
  <c r="O245" i="5"/>
  <c r="N245" i="5"/>
  <c r="O279" i="5"/>
  <c r="N279" i="5"/>
  <c r="O95" i="5"/>
  <c r="N95" i="5"/>
  <c r="O34" i="5"/>
  <c r="O270" i="5"/>
  <c r="N270" i="5"/>
  <c r="O320" i="5"/>
  <c r="N320" i="5"/>
  <c r="O13" i="5"/>
  <c r="O91" i="5"/>
  <c r="N91" i="5"/>
  <c r="O179" i="5"/>
  <c r="N179" i="5"/>
  <c r="O117" i="5"/>
  <c r="N117" i="5"/>
  <c r="N42" i="5"/>
  <c r="O42" i="5"/>
  <c r="N106" i="5"/>
  <c r="O106" i="5"/>
  <c r="O190" i="5"/>
  <c r="N190" i="5"/>
  <c r="O286" i="5"/>
  <c r="N286" i="5"/>
  <c r="O246" i="5"/>
  <c r="N246" i="5"/>
  <c r="O295" i="5"/>
  <c r="N295" i="5"/>
  <c r="O69" i="5"/>
  <c r="N69" i="5"/>
  <c r="O206" i="5"/>
  <c r="N206" i="5"/>
  <c r="O243" i="5"/>
  <c r="N243" i="5"/>
  <c r="O19" i="5"/>
  <c r="O93" i="5"/>
  <c r="N93" i="5"/>
  <c r="O195" i="5"/>
  <c r="N195" i="5"/>
  <c r="O126" i="5"/>
  <c r="N126" i="5"/>
  <c r="O48" i="5"/>
  <c r="N48" i="5"/>
  <c r="O119" i="5"/>
  <c r="N119" i="5"/>
  <c r="O196" i="5"/>
  <c r="N196" i="5"/>
  <c r="O236" i="5"/>
  <c r="N236" i="5"/>
  <c r="O261" i="5"/>
  <c r="N261" i="5"/>
  <c r="O311" i="5"/>
  <c r="N311" i="5"/>
  <c r="O325" i="5"/>
  <c r="N325" i="5"/>
  <c r="O283" i="5"/>
  <c r="N283" i="5"/>
  <c r="O162" i="5"/>
  <c r="N162" i="5"/>
  <c r="O15" i="5"/>
  <c r="O81" i="5"/>
  <c r="N81" i="5"/>
  <c r="O116" i="5"/>
  <c r="N116" i="5"/>
  <c r="O180" i="5"/>
  <c r="N180" i="5"/>
  <c r="O31" i="5"/>
  <c r="O118" i="5"/>
  <c r="N118" i="5"/>
  <c r="O182" i="5"/>
  <c r="N182" i="5"/>
  <c r="O44" i="5"/>
  <c r="N44" i="5"/>
  <c r="O76" i="5"/>
  <c r="N76" i="5"/>
  <c r="O111" i="5"/>
  <c r="N111" i="5"/>
  <c r="O175" i="5"/>
  <c r="N175" i="5"/>
  <c r="O192" i="5"/>
  <c r="N192" i="5"/>
  <c r="O231" i="5"/>
  <c r="N231" i="5"/>
  <c r="O290" i="5"/>
  <c r="N290" i="5"/>
  <c r="O210" i="5"/>
  <c r="N210" i="5"/>
  <c r="O253" i="5"/>
  <c r="N253" i="5"/>
  <c r="O321" i="5"/>
  <c r="N321" i="5"/>
  <c r="O271" i="5"/>
  <c r="N271" i="5"/>
  <c r="O18" i="5"/>
  <c r="O14" i="5"/>
  <c r="O171" i="5"/>
  <c r="N171" i="5"/>
  <c r="O21" i="5"/>
  <c r="O109" i="5"/>
  <c r="N109" i="5"/>
  <c r="O173" i="5"/>
  <c r="N173" i="5"/>
  <c r="O38" i="5"/>
  <c r="N38" i="5"/>
  <c r="O70" i="5"/>
  <c r="N70" i="5"/>
  <c r="O102" i="5"/>
  <c r="N102" i="5"/>
  <c r="O160" i="5"/>
  <c r="N160" i="5"/>
  <c r="O318" i="5"/>
  <c r="N318" i="5"/>
  <c r="O225" i="5"/>
  <c r="N225" i="5"/>
  <c r="O278" i="5"/>
  <c r="N278" i="5"/>
  <c r="O314" i="5"/>
  <c r="N314" i="5"/>
  <c r="O238" i="5"/>
  <c r="N238" i="5"/>
  <c r="O309" i="5"/>
  <c r="N309" i="5"/>
  <c r="O316" i="5"/>
  <c r="N316" i="5"/>
  <c r="N323" i="5"/>
  <c r="O323" i="5"/>
  <c r="O121" i="5"/>
  <c r="N121" i="5"/>
  <c r="O198" i="5"/>
  <c r="N198" i="5"/>
  <c r="O73" i="5"/>
  <c r="N73" i="5"/>
  <c r="O140" i="5"/>
  <c r="N140" i="5"/>
  <c r="O88" i="5"/>
  <c r="N88" i="5"/>
  <c r="O222" i="5"/>
  <c r="N222" i="5"/>
  <c r="O133" i="5"/>
  <c r="N133" i="5"/>
  <c r="O276" i="5"/>
  <c r="N276" i="5"/>
  <c r="O59" i="5"/>
  <c r="N59" i="5"/>
  <c r="O219" i="5"/>
  <c r="N219" i="5"/>
  <c r="O3" i="5"/>
  <c r="O223" i="5"/>
  <c r="N223" i="5"/>
  <c r="O71" i="5"/>
  <c r="N71" i="5"/>
  <c r="O96" i="5"/>
  <c r="N96" i="5"/>
  <c r="O230" i="5"/>
  <c r="N230" i="5"/>
  <c r="O137" i="5"/>
  <c r="N137" i="5"/>
  <c r="O65" i="5"/>
  <c r="N65" i="5"/>
  <c r="O164" i="5"/>
  <c r="N164" i="5"/>
  <c r="O166" i="5"/>
  <c r="N166" i="5"/>
  <c r="O100" i="5"/>
  <c r="N100" i="5"/>
  <c r="O263" i="5"/>
  <c r="N263" i="5"/>
  <c r="O237" i="5"/>
  <c r="N237" i="5"/>
  <c r="O5" i="5"/>
  <c r="O30" i="5"/>
  <c r="O144" i="5"/>
  <c r="N144" i="5"/>
  <c r="O265" i="5"/>
  <c r="N265" i="5"/>
  <c r="O228" i="5"/>
  <c r="N228" i="5"/>
  <c r="O307" i="5"/>
  <c r="N307" i="5"/>
  <c r="O50" i="5"/>
  <c r="N50" i="5"/>
  <c r="O326" i="5"/>
  <c r="N326" i="5"/>
  <c r="O131" i="5"/>
  <c r="N131" i="5"/>
  <c r="O98" i="5"/>
  <c r="N98" i="5"/>
  <c r="N298" i="5"/>
  <c r="O298" i="5"/>
  <c r="O178" i="5"/>
  <c r="N178" i="5"/>
  <c r="O29" i="5"/>
  <c r="O99" i="5"/>
  <c r="N99" i="5"/>
  <c r="O256" i="5"/>
  <c r="N256" i="5"/>
  <c r="O142" i="5"/>
  <c r="N142" i="5"/>
  <c r="O56" i="5"/>
  <c r="N56" i="5"/>
  <c r="O135" i="5"/>
  <c r="N135" i="5"/>
  <c r="O204" i="5"/>
  <c r="N204" i="5"/>
  <c r="O252" i="5"/>
  <c r="N252" i="5"/>
  <c r="O281" i="5"/>
  <c r="N281" i="5"/>
  <c r="O2" i="5"/>
  <c r="O163" i="5"/>
  <c r="N163" i="5"/>
  <c r="O82" i="5"/>
  <c r="N82" i="5"/>
  <c r="O216" i="5"/>
  <c r="N216" i="5"/>
  <c r="N170" i="5"/>
  <c r="O170" i="5"/>
  <c r="O37" i="5"/>
  <c r="O101" i="5"/>
  <c r="N101" i="5"/>
  <c r="O205" i="5"/>
  <c r="N205" i="5"/>
  <c r="O149" i="5"/>
  <c r="N149" i="5"/>
  <c r="O58" i="5"/>
  <c r="N58" i="5"/>
  <c r="O136" i="5"/>
  <c r="N136" i="5"/>
  <c r="O213" i="5"/>
  <c r="N213" i="5"/>
  <c r="O259" i="5"/>
  <c r="N259" i="5"/>
  <c r="O285" i="5"/>
  <c r="N285" i="5"/>
  <c r="O177" i="5"/>
  <c r="N177" i="5"/>
  <c r="O107" i="5"/>
  <c r="N107" i="5"/>
  <c r="O66" i="5"/>
  <c r="N66" i="5"/>
  <c r="N154" i="5"/>
  <c r="O154" i="5"/>
  <c r="O41" i="5"/>
  <c r="N41" i="5"/>
  <c r="O103" i="5"/>
  <c r="N103" i="5"/>
  <c r="O7" i="5"/>
  <c r="O158" i="5"/>
  <c r="N158" i="5"/>
  <c r="O64" i="5"/>
  <c r="N64" i="5"/>
  <c r="O151" i="5"/>
  <c r="N151" i="5"/>
  <c r="O247" i="5"/>
  <c r="N247" i="5"/>
  <c r="O268" i="5"/>
  <c r="N268" i="5"/>
  <c r="O297" i="5"/>
  <c r="N297" i="5"/>
  <c r="O145" i="5"/>
  <c r="N145" i="5"/>
  <c r="O169" i="5"/>
  <c r="N169" i="5"/>
  <c r="O315" i="5"/>
  <c r="N315" i="5"/>
  <c r="O130" i="5"/>
  <c r="N130" i="5"/>
  <c r="O33" i="5"/>
  <c r="O89" i="5"/>
  <c r="N89" i="5"/>
  <c r="O132" i="5"/>
  <c r="N132" i="5"/>
  <c r="O209" i="5"/>
  <c r="N209" i="5"/>
  <c r="O47" i="5"/>
  <c r="N47" i="5"/>
  <c r="O134" i="5"/>
  <c r="N134" i="5"/>
  <c r="O264" i="5"/>
  <c r="N264" i="5"/>
  <c r="O52" i="5"/>
  <c r="N52" i="5"/>
  <c r="O84" i="5"/>
  <c r="N84" i="5"/>
  <c r="O127" i="5"/>
  <c r="N127" i="5"/>
  <c r="O191" i="5"/>
  <c r="N191" i="5"/>
  <c r="O200" i="5"/>
  <c r="N200" i="5"/>
  <c r="O242" i="5"/>
  <c r="N242" i="5"/>
  <c r="O244" i="5"/>
  <c r="N244" i="5"/>
  <c r="N218" i="5"/>
  <c r="O218" i="5"/>
  <c r="O273" i="5"/>
  <c r="N273" i="5"/>
  <c r="O280" i="5"/>
  <c r="N280" i="5"/>
  <c r="O287" i="5"/>
  <c r="N287" i="5"/>
  <c r="O20" i="5"/>
  <c r="O123" i="5"/>
  <c r="N123" i="5"/>
  <c r="O187" i="5"/>
  <c r="N187" i="5"/>
  <c r="O35" i="5"/>
  <c r="O125" i="5"/>
  <c r="N125" i="5"/>
  <c r="O193" i="5"/>
  <c r="N193" i="5"/>
  <c r="O46" i="5"/>
  <c r="N46" i="5"/>
  <c r="O78" i="5"/>
  <c r="N78" i="5"/>
  <c r="O112" i="5"/>
  <c r="N112" i="5"/>
  <c r="O176" i="5"/>
  <c r="N176" i="5"/>
  <c r="O194" i="5"/>
  <c r="N194" i="5"/>
  <c r="O233" i="5"/>
  <c r="N233" i="5"/>
  <c r="O235" i="5"/>
  <c r="N235" i="5"/>
  <c r="O212" i="5"/>
  <c r="N212" i="5"/>
  <c r="O254" i="5"/>
  <c r="N254" i="5"/>
  <c r="O269" i="5"/>
  <c r="N269" i="5"/>
  <c r="O275" i="5"/>
  <c r="N275" i="5"/>
  <c r="O10" i="5"/>
  <c r="O22" i="5"/>
  <c r="O25" i="5"/>
  <c r="O301" i="5"/>
  <c r="N301" i="5"/>
  <c r="O24" i="5"/>
  <c r="O250" i="5"/>
  <c r="N250" i="5"/>
  <c r="O45" i="5"/>
  <c r="N45" i="5"/>
  <c r="O255" i="5"/>
  <c r="N255" i="5"/>
  <c r="O79" i="5"/>
  <c r="N79" i="5"/>
  <c r="O26" i="5"/>
  <c r="O257" i="5"/>
  <c r="N257" i="5"/>
  <c r="O224" i="5"/>
  <c r="N224" i="5"/>
  <c r="O75" i="5"/>
  <c r="N75" i="5"/>
  <c r="O83" i="5"/>
  <c r="N83" i="5"/>
  <c r="O32" i="5"/>
  <c r="N266" i="5"/>
  <c r="O266" i="5"/>
  <c r="O299" i="5"/>
  <c r="N299" i="5"/>
  <c r="O17" i="5"/>
  <c r="O36" i="5"/>
  <c r="O159" i="5"/>
  <c r="N159" i="5"/>
  <c r="O274" i="5"/>
  <c r="N274" i="5"/>
  <c r="O305" i="5"/>
  <c r="N305" i="5"/>
  <c r="O319" i="5"/>
  <c r="N319" i="5"/>
  <c r="O155" i="5"/>
  <c r="N155" i="5"/>
  <c r="O157" i="5"/>
  <c r="N157" i="5"/>
  <c r="O94" i="5"/>
  <c r="N94" i="5"/>
  <c r="O239" i="5"/>
  <c r="N239" i="5"/>
  <c r="O300" i="5"/>
  <c r="N300" i="5"/>
  <c r="O85" i="5"/>
  <c r="N85" i="5"/>
  <c r="O241" i="5"/>
  <c r="N241" i="5"/>
  <c r="O87" i="5"/>
  <c r="N87" i="5"/>
  <c r="O186" i="5"/>
  <c r="N186" i="5"/>
  <c r="O11" i="5"/>
  <c r="O152" i="5"/>
  <c r="N152" i="5"/>
  <c r="O232" i="5"/>
  <c r="N232" i="5"/>
  <c r="O138" i="5"/>
  <c r="N138" i="5"/>
  <c r="O53" i="5"/>
  <c r="N53" i="5"/>
  <c r="O108" i="5"/>
  <c r="N108" i="5"/>
  <c r="O23" i="5"/>
  <c r="O174" i="5"/>
  <c r="N174" i="5"/>
  <c r="O72" i="5"/>
  <c r="N72" i="5"/>
  <c r="O167" i="5"/>
  <c r="N167" i="5"/>
  <c r="O227" i="5"/>
  <c r="N227" i="5"/>
  <c r="O322" i="5"/>
  <c r="N322" i="5"/>
  <c r="O313" i="5"/>
  <c r="N313" i="5"/>
  <c r="O16" i="5"/>
  <c r="O43" i="5"/>
  <c r="N43" i="5"/>
  <c r="O184" i="5"/>
  <c r="N184" i="5"/>
  <c r="O262" i="5"/>
  <c r="N262" i="5"/>
  <c r="O122" i="5"/>
  <c r="N122" i="5"/>
  <c r="O57" i="5"/>
  <c r="N57" i="5"/>
  <c r="O115" i="5"/>
  <c r="N115" i="5"/>
  <c r="O27" i="5"/>
  <c r="O181" i="5"/>
  <c r="N181" i="5"/>
  <c r="O74" i="5"/>
  <c r="N74" i="5"/>
  <c r="O168" i="5"/>
  <c r="N168" i="5"/>
  <c r="O229" i="5"/>
  <c r="N229" i="5"/>
  <c r="O208" i="5"/>
  <c r="N208" i="5"/>
  <c r="O317" i="5"/>
  <c r="N317" i="5"/>
  <c r="O146" i="5"/>
  <c r="N146" i="5"/>
  <c r="O203" i="5"/>
  <c r="N203" i="5"/>
  <c r="O120" i="5"/>
  <c r="N120" i="5"/>
  <c r="O114" i="5"/>
  <c r="N114" i="5"/>
  <c r="O61" i="5"/>
  <c r="N61" i="5"/>
  <c r="O124" i="5"/>
  <c r="N124" i="5"/>
  <c r="O39" i="5"/>
  <c r="N39" i="5"/>
  <c r="O201" i="5"/>
  <c r="N201" i="5"/>
  <c r="O80" i="5"/>
  <c r="N80" i="5"/>
  <c r="O183" i="5"/>
  <c r="N183" i="5"/>
  <c r="N234" i="5"/>
  <c r="O234" i="5"/>
  <c r="O214" i="5"/>
  <c r="N214" i="5"/>
  <c r="O272" i="5"/>
  <c r="N272" i="5"/>
  <c r="O324" i="5"/>
  <c r="N324" i="5"/>
  <c r="O6" i="5"/>
  <c r="O113" i="5"/>
  <c r="N113" i="5"/>
  <c r="O8" i="5"/>
  <c r="O49" i="5"/>
  <c r="N49" i="5"/>
  <c r="O97" i="5"/>
  <c r="N97" i="5"/>
  <c r="O148" i="5"/>
  <c r="N148" i="5"/>
  <c r="O294" i="5"/>
  <c r="N294" i="5"/>
  <c r="O63" i="5"/>
  <c r="N63" i="5"/>
  <c r="O150" i="5"/>
  <c r="N150" i="5"/>
  <c r="O28" i="5"/>
  <c r="O60" i="5"/>
  <c r="N60" i="5"/>
  <c r="O92" i="5"/>
  <c r="N92" i="5"/>
  <c r="O143" i="5"/>
  <c r="N143" i="5"/>
  <c r="O240" i="5"/>
  <c r="N240" i="5"/>
  <c r="O221" i="5"/>
  <c r="N221" i="5"/>
  <c r="O258" i="5"/>
  <c r="N258" i="5"/>
  <c r="O260" i="5"/>
  <c r="N260" i="5"/>
  <c r="O226" i="5"/>
  <c r="N226" i="5"/>
  <c r="O289" i="5"/>
  <c r="N289" i="5"/>
  <c r="O296" i="5"/>
  <c r="N296" i="5"/>
  <c r="O303" i="5"/>
  <c r="N303" i="5"/>
  <c r="O161" i="5"/>
  <c r="N161" i="5"/>
  <c r="O139" i="5"/>
  <c r="N139" i="5"/>
  <c r="O217" i="5"/>
  <c r="N217" i="5"/>
  <c r="O51" i="5"/>
  <c r="N51" i="5"/>
  <c r="O141" i="5"/>
  <c r="N141" i="5"/>
  <c r="O310" i="5"/>
  <c r="N310" i="5"/>
  <c r="O54" i="5"/>
  <c r="N54" i="5"/>
  <c r="O86" i="5"/>
  <c r="N86" i="5"/>
  <c r="O128" i="5"/>
  <c r="N128" i="5"/>
  <c r="O199" i="5"/>
  <c r="N199" i="5"/>
  <c r="O202" i="5"/>
  <c r="N202" i="5"/>
  <c r="O249" i="5"/>
  <c r="N249" i="5"/>
  <c r="O251" i="5"/>
  <c r="N251" i="5"/>
  <c r="O220" i="5"/>
  <c r="N220" i="5"/>
  <c r="O277" i="5"/>
  <c r="N277" i="5"/>
  <c r="O284" i="5"/>
  <c r="N284" i="5"/>
  <c r="O291" i="5"/>
  <c r="N291" i="5"/>
  <c r="O185" i="5"/>
  <c r="N185" i="5"/>
  <c r="O189" i="5"/>
  <c r="N189" i="5"/>
  <c r="M2" i="5"/>
  <c r="M186" i="5"/>
  <c r="L186" i="5"/>
  <c r="M138" i="5"/>
  <c r="L138" i="5"/>
  <c r="M174" i="5"/>
  <c r="L174" i="5"/>
  <c r="M167" i="5"/>
  <c r="L167" i="5"/>
  <c r="M25" i="5"/>
  <c r="L25" i="5"/>
  <c r="M165" i="5"/>
  <c r="L165" i="5"/>
  <c r="M198" i="5"/>
  <c r="L198" i="5"/>
  <c r="M301" i="5"/>
  <c r="L301" i="5"/>
  <c r="M12" i="5"/>
  <c r="L12" i="5"/>
  <c r="M73" i="5"/>
  <c r="L73" i="5"/>
  <c r="M140" i="5"/>
  <c r="L140" i="5"/>
  <c r="M55" i="5"/>
  <c r="L55" i="5"/>
  <c r="M24" i="5"/>
  <c r="L24" i="5"/>
  <c r="M88" i="5"/>
  <c r="L88" i="5"/>
  <c r="M211" i="5"/>
  <c r="L211" i="5"/>
  <c r="M250" i="5"/>
  <c r="L250" i="5"/>
  <c r="M222" i="5"/>
  <c r="L222" i="5"/>
  <c r="M288" i="5"/>
  <c r="L288" i="5"/>
  <c r="M45" i="5"/>
  <c r="L45" i="5"/>
  <c r="M133" i="5"/>
  <c r="L133" i="5"/>
  <c r="M255" i="5"/>
  <c r="L255" i="5"/>
  <c r="M276" i="5"/>
  <c r="L276" i="5"/>
  <c r="M4" i="5"/>
  <c r="L4" i="5"/>
  <c r="M79" i="5"/>
  <c r="L79" i="5"/>
  <c r="M147" i="5"/>
  <c r="L147" i="5"/>
  <c r="M59" i="5"/>
  <c r="L59" i="5"/>
  <c r="M26" i="5"/>
  <c r="L26" i="5"/>
  <c r="M90" i="5"/>
  <c r="L90" i="5"/>
  <c r="M219" i="5"/>
  <c r="L219" i="5"/>
  <c r="M257" i="5"/>
  <c r="L257" i="5"/>
  <c r="M224" i="5"/>
  <c r="L224" i="5"/>
  <c r="M292" i="5"/>
  <c r="L292" i="5"/>
  <c r="M3" i="5"/>
  <c r="L3" i="5"/>
  <c r="M75" i="5"/>
  <c r="L75" i="5"/>
  <c r="M223" i="5"/>
  <c r="L223" i="5"/>
  <c r="M197" i="5"/>
  <c r="L197" i="5"/>
  <c r="M83" i="5"/>
  <c r="L83" i="5"/>
  <c r="M156" i="5"/>
  <c r="L156" i="5"/>
  <c r="M71" i="5"/>
  <c r="L71" i="5"/>
  <c r="M32" i="5"/>
  <c r="L32" i="5"/>
  <c r="M96" i="5"/>
  <c r="L96" i="5"/>
  <c r="M215" i="5"/>
  <c r="L215" i="5"/>
  <c r="M266" i="5"/>
  <c r="L266" i="5"/>
  <c r="M230" i="5"/>
  <c r="L230" i="5"/>
  <c r="M304" i="5"/>
  <c r="L304" i="5"/>
  <c r="M299" i="5"/>
  <c r="L299" i="5"/>
  <c r="M308" i="5"/>
  <c r="L308" i="5"/>
  <c r="M137" i="5"/>
  <c r="L137" i="5"/>
  <c r="M248" i="5"/>
  <c r="L248" i="5"/>
  <c r="M65" i="5"/>
  <c r="L65" i="5"/>
  <c r="M105" i="5"/>
  <c r="L105" i="5"/>
  <c r="M164" i="5"/>
  <c r="L164" i="5"/>
  <c r="M17" i="5"/>
  <c r="L17" i="5"/>
  <c r="M77" i="5"/>
  <c r="L77" i="5"/>
  <c r="M166" i="5"/>
  <c r="L166" i="5"/>
  <c r="M36" i="5"/>
  <c r="L36" i="5"/>
  <c r="M68" i="5"/>
  <c r="L68" i="5"/>
  <c r="M100" i="5"/>
  <c r="L100" i="5"/>
  <c r="M159" i="5"/>
  <c r="L159" i="5"/>
  <c r="M302" i="5"/>
  <c r="L302" i="5"/>
  <c r="M263" i="5"/>
  <c r="L263" i="5"/>
  <c r="M274" i="5"/>
  <c r="L274" i="5"/>
  <c r="M306" i="5"/>
  <c r="L306" i="5"/>
  <c r="M237" i="5"/>
  <c r="L237" i="5"/>
  <c r="M305" i="5"/>
  <c r="L305" i="5"/>
  <c r="M312" i="5"/>
  <c r="L312" i="5"/>
  <c r="M319" i="5"/>
  <c r="L319" i="5"/>
  <c r="M129" i="5"/>
  <c r="L129" i="5"/>
  <c r="M155" i="5"/>
  <c r="L155" i="5"/>
  <c r="M5" i="5"/>
  <c r="L5" i="5"/>
  <c r="M67" i="5"/>
  <c r="L67" i="5"/>
  <c r="M157" i="5"/>
  <c r="L157" i="5"/>
  <c r="M30" i="5"/>
  <c r="L30" i="5"/>
  <c r="M62" i="5"/>
  <c r="L62" i="5"/>
  <c r="M94" i="5"/>
  <c r="L94" i="5"/>
  <c r="M144" i="5"/>
  <c r="L144" i="5"/>
  <c r="M207" i="5"/>
  <c r="L207" i="5"/>
  <c r="M239" i="5"/>
  <c r="L239" i="5"/>
  <c r="M265" i="5"/>
  <c r="L265" i="5"/>
  <c r="M267" i="5"/>
  <c r="L267" i="5"/>
  <c r="M228" i="5"/>
  <c r="L228" i="5"/>
  <c r="M293" i="5"/>
  <c r="L293" i="5"/>
  <c r="M300" i="5"/>
  <c r="L300" i="5"/>
  <c r="M307" i="5"/>
  <c r="L307" i="5"/>
  <c r="M153" i="5"/>
  <c r="L153" i="5"/>
  <c r="M152" i="5"/>
  <c r="L152" i="5"/>
  <c r="M53" i="5"/>
  <c r="L53" i="5"/>
  <c r="M85" i="5"/>
  <c r="L85" i="5"/>
  <c r="M241" i="5"/>
  <c r="L241" i="5"/>
  <c r="M9" i="5"/>
  <c r="L9" i="5"/>
  <c r="M87" i="5"/>
  <c r="L87" i="5"/>
  <c r="M172" i="5"/>
  <c r="L172" i="5"/>
  <c r="M110" i="5"/>
  <c r="L110" i="5"/>
  <c r="M40" i="5"/>
  <c r="L40" i="5"/>
  <c r="M104" i="5"/>
  <c r="L104" i="5"/>
  <c r="M188" i="5"/>
  <c r="L188" i="5"/>
  <c r="M282" i="5"/>
  <c r="L282" i="5"/>
  <c r="M245" i="5"/>
  <c r="L245" i="5"/>
  <c r="M279" i="5"/>
  <c r="L279" i="5"/>
  <c r="M95" i="5"/>
  <c r="L95" i="5"/>
  <c r="M34" i="5"/>
  <c r="L34" i="5"/>
  <c r="M270" i="5"/>
  <c r="L270" i="5"/>
  <c r="M320" i="5"/>
  <c r="L320" i="5"/>
  <c r="M13" i="5"/>
  <c r="L13" i="5"/>
  <c r="M91" i="5"/>
  <c r="L91" i="5"/>
  <c r="M179" i="5"/>
  <c r="L179" i="5"/>
  <c r="M117" i="5"/>
  <c r="L117" i="5"/>
  <c r="M42" i="5"/>
  <c r="L42" i="5"/>
  <c r="M106" i="5"/>
  <c r="L106" i="5"/>
  <c r="M190" i="5"/>
  <c r="L190" i="5"/>
  <c r="M286" i="5"/>
  <c r="L286" i="5"/>
  <c r="M246" i="5"/>
  <c r="L246" i="5"/>
  <c r="M295" i="5"/>
  <c r="L295" i="5"/>
  <c r="M69" i="5"/>
  <c r="L69" i="5"/>
  <c r="M206" i="5"/>
  <c r="L206" i="5"/>
  <c r="M243" i="5"/>
  <c r="L243" i="5"/>
  <c r="M19" i="5"/>
  <c r="L19" i="5"/>
  <c r="M93" i="5"/>
  <c r="L93" i="5"/>
  <c r="M195" i="5"/>
  <c r="L195" i="5"/>
  <c r="M126" i="5"/>
  <c r="L126" i="5"/>
  <c r="M48" i="5"/>
  <c r="L48" i="5"/>
  <c r="M119" i="5"/>
  <c r="L119" i="5"/>
  <c r="M196" i="5"/>
  <c r="L196" i="5"/>
  <c r="M236" i="5"/>
  <c r="L236" i="5"/>
  <c r="M261" i="5"/>
  <c r="L261" i="5"/>
  <c r="M311" i="5"/>
  <c r="L311" i="5"/>
  <c r="M325" i="5"/>
  <c r="L325" i="5"/>
  <c r="M283" i="5"/>
  <c r="L283" i="5"/>
  <c r="M162" i="5"/>
  <c r="L162" i="5"/>
  <c r="M15" i="5"/>
  <c r="L15" i="5"/>
  <c r="M81" i="5"/>
  <c r="L81" i="5"/>
  <c r="M116" i="5"/>
  <c r="L116" i="5"/>
  <c r="M180" i="5"/>
  <c r="L180" i="5"/>
  <c r="M31" i="5"/>
  <c r="L31" i="5"/>
  <c r="M118" i="5"/>
  <c r="L118" i="5"/>
  <c r="M182" i="5"/>
  <c r="L182" i="5"/>
  <c r="M44" i="5"/>
  <c r="L44" i="5"/>
  <c r="M76" i="5"/>
  <c r="L76" i="5"/>
  <c r="M111" i="5"/>
  <c r="L111" i="5"/>
  <c r="M175" i="5"/>
  <c r="L175" i="5"/>
  <c r="M192" i="5"/>
  <c r="L192" i="5"/>
  <c r="M231" i="5"/>
  <c r="L231" i="5"/>
  <c r="M290" i="5"/>
  <c r="L290" i="5"/>
  <c r="M210" i="5"/>
  <c r="L210" i="5"/>
  <c r="M253" i="5"/>
  <c r="L253" i="5"/>
  <c r="M321" i="5"/>
  <c r="L321" i="5"/>
  <c r="M271" i="5"/>
  <c r="L271" i="5"/>
  <c r="M18" i="5"/>
  <c r="L18" i="5"/>
  <c r="M14" i="5"/>
  <c r="L14" i="5"/>
  <c r="M171" i="5"/>
  <c r="L171" i="5"/>
  <c r="M21" i="5"/>
  <c r="L21" i="5"/>
  <c r="M109" i="5"/>
  <c r="L109" i="5"/>
  <c r="M173" i="5"/>
  <c r="L173" i="5"/>
  <c r="M38" i="5"/>
  <c r="L38" i="5"/>
  <c r="M70" i="5"/>
  <c r="L70" i="5"/>
  <c r="M102" i="5"/>
  <c r="L102" i="5"/>
  <c r="M160" i="5"/>
  <c r="L160" i="5"/>
  <c r="M318" i="5"/>
  <c r="L318" i="5"/>
  <c r="M225" i="5"/>
  <c r="L225" i="5"/>
  <c r="M278" i="5"/>
  <c r="L278" i="5"/>
  <c r="M314" i="5"/>
  <c r="L314" i="5"/>
  <c r="M238" i="5"/>
  <c r="L238" i="5"/>
  <c r="M309" i="5"/>
  <c r="L309" i="5"/>
  <c r="M316" i="5"/>
  <c r="L316" i="5"/>
  <c r="M323" i="5"/>
  <c r="L323" i="5"/>
  <c r="M121" i="5"/>
  <c r="L121" i="5"/>
  <c r="M11" i="5"/>
  <c r="L11" i="5"/>
  <c r="M23" i="5"/>
  <c r="L23" i="5"/>
  <c r="M50" i="5"/>
  <c r="L50" i="5"/>
  <c r="M326" i="5"/>
  <c r="L326" i="5"/>
  <c r="M131" i="5"/>
  <c r="L131" i="5"/>
  <c r="M98" i="5"/>
  <c r="L98" i="5"/>
  <c r="M298" i="5"/>
  <c r="L298" i="5"/>
  <c r="M178" i="5"/>
  <c r="L178" i="5"/>
  <c r="M29" i="5"/>
  <c r="L29" i="5"/>
  <c r="M99" i="5"/>
  <c r="L99" i="5"/>
  <c r="M256" i="5"/>
  <c r="L256" i="5"/>
  <c r="M142" i="5"/>
  <c r="L142" i="5"/>
  <c r="M56" i="5"/>
  <c r="L56" i="5"/>
  <c r="M135" i="5"/>
  <c r="L135" i="5"/>
  <c r="M204" i="5"/>
  <c r="L204" i="5"/>
  <c r="M252" i="5"/>
  <c r="L252" i="5"/>
  <c r="M281" i="5"/>
  <c r="L281" i="5"/>
  <c r="L2" i="5"/>
  <c r="M163" i="5"/>
  <c r="L163" i="5"/>
  <c r="M82" i="5"/>
  <c r="L82" i="5"/>
  <c r="M216" i="5"/>
  <c r="L216" i="5"/>
  <c r="M170" i="5"/>
  <c r="L170" i="5"/>
  <c r="M37" i="5"/>
  <c r="L37" i="5"/>
  <c r="M101" i="5"/>
  <c r="L101" i="5"/>
  <c r="M205" i="5"/>
  <c r="L205" i="5"/>
  <c r="M149" i="5"/>
  <c r="L149" i="5"/>
  <c r="M58" i="5"/>
  <c r="L58" i="5"/>
  <c r="M136" i="5"/>
  <c r="L136" i="5"/>
  <c r="M213" i="5"/>
  <c r="L213" i="5"/>
  <c r="M259" i="5"/>
  <c r="L259" i="5"/>
  <c r="M285" i="5"/>
  <c r="L285" i="5"/>
  <c r="M177" i="5"/>
  <c r="L177" i="5"/>
  <c r="M107" i="5"/>
  <c r="L107" i="5"/>
  <c r="M66" i="5"/>
  <c r="L66" i="5"/>
  <c r="M154" i="5"/>
  <c r="L154" i="5"/>
  <c r="M41" i="5"/>
  <c r="L41" i="5"/>
  <c r="M103" i="5"/>
  <c r="L103" i="5"/>
  <c r="M7" i="5"/>
  <c r="L7" i="5"/>
  <c r="M158" i="5"/>
  <c r="L158" i="5"/>
  <c r="M64" i="5"/>
  <c r="L64" i="5"/>
  <c r="M151" i="5"/>
  <c r="L151" i="5"/>
  <c r="M247" i="5"/>
  <c r="L247" i="5"/>
  <c r="M268" i="5"/>
  <c r="L268" i="5"/>
  <c r="M297" i="5"/>
  <c r="L297" i="5"/>
  <c r="M145" i="5"/>
  <c r="L145" i="5"/>
  <c r="M169" i="5"/>
  <c r="L169" i="5"/>
  <c r="M315" i="5"/>
  <c r="L315" i="5"/>
  <c r="M130" i="5"/>
  <c r="L130" i="5"/>
  <c r="M33" i="5"/>
  <c r="L33" i="5"/>
  <c r="M89" i="5"/>
  <c r="L89" i="5"/>
  <c r="M132" i="5"/>
  <c r="L132" i="5"/>
  <c r="M209" i="5"/>
  <c r="L209" i="5"/>
  <c r="M47" i="5"/>
  <c r="L47" i="5"/>
  <c r="M134" i="5"/>
  <c r="L134" i="5"/>
  <c r="M264" i="5"/>
  <c r="L264" i="5"/>
  <c r="M52" i="5"/>
  <c r="L52" i="5"/>
  <c r="M84" i="5"/>
  <c r="L84" i="5"/>
  <c r="M127" i="5"/>
  <c r="L127" i="5"/>
  <c r="M191" i="5"/>
  <c r="L191" i="5"/>
  <c r="M200" i="5"/>
  <c r="L200" i="5"/>
  <c r="M242" i="5"/>
  <c r="L242" i="5"/>
  <c r="M244" i="5"/>
  <c r="L244" i="5"/>
  <c r="M218" i="5"/>
  <c r="L218" i="5"/>
  <c r="M273" i="5"/>
  <c r="L273" i="5"/>
  <c r="M280" i="5"/>
  <c r="L280" i="5"/>
  <c r="M287" i="5"/>
  <c r="L287" i="5"/>
  <c r="M20" i="5"/>
  <c r="L20" i="5"/>
  <c r="M123" i="5"/>
  <c r="L123" i="5"/>
  <c r="M187" i="5"/>
  <c r="L187" i="5"/>
  <c r="M35" i="5"/>
  <c r="L35" i="5"/>
  <c r="M125" i="5"/>
  <c r="L125" i="5"/>
  <c r="M193" i="5"/>
  <c r="L193" i="5"/>
  <c r="M46" i="5"/>
  <c r="L46" i="5"/>
  <c r="M78" i="5"/>
  <c r="L78" i="5"/>
  <c r="M112" i="5"/>
  <c r="L112" i="5"/>
  <c r="M176" i="5"/>
  <c r="L176" i="5"/>
  <c r="M194" i="5"/>
  <c r="L194" i="5"/>
  <c r="M233" i="5"/>
  <c r="L233" i="5"/>
  <c r="M235" i="5"/>
  <c r="L235" i="5"/>
  <c r="M212" i="5"/>
  <c r="L212" i="5"/>
  <c r="M254" i="5"/>
  <c r="L254" i="5"/>
  <c r="M269" i="5"/>
  <c r="L269" i="5"/>
  <c r="M275" i="5"/>
  <c r="L275" i="5"/>
  <c r="M10" i="5"/>
  <c r="L10" i="5"/>
  <c r="M22" i="5"/>
  <c r="L22" i="5"/>
  <c r="M232" i="5"/>
  <c r="L232" i="5"/>
  <c r="M108" i="5"/>
  <c r="L108" i="5"/>
  <c r="M72" i="5"/>
  <c r="L72" i="5"/>
  <c r="M227" i="5"/>
  <c r="L227" i="5"/>
  <c r="M322" i="5"/>
  <c r="L322" i="5"/>
  <c r="M313" i="5"/>
  <c r="L313" i="5"/>
  <c r="M16" i="5"/>
  <c r="L16" i="5"/>
  <c r="M43" i="5"/>
  <c r="L43" i="5"/>
  <c r="M184" i="5"/>
  <c r="L184" i="5"/>
  <c r="M262" i="5"/>
  <c r="L262" i="5"/>
  <c r="M122" i="5"/>
  <c r="L122" i="5"/>
  <c r="M57" i="5"/>
  <c r="L57" i="5"/>
  <c r="M115" i="5"/>
  <c r="L115" i="5"/>
  <c r="M27" i="5"/>
  <c r="L27" i="5"/>
  <c r="M181" i="5"/>
  <c r="L181" i="5"/>
  <c r="M74" i="5"/>
  <c r="L74" i="5"/>
  <c r="M168" i="5"/>
  <c r="L168" i="5"/>
  <c r="M229" i="5"/>
  <c r="L229" i="5"/>
  <c r="M208" i="5"/>
  <c r="L208" i="5"/>
  <c r="M317" i="5"/>
  <c r="L317" i="5"/>
  <c r="M146" i="5"/>
  <c r="L146" i="5"/>
  <c r="M203" i="5"/>
  <c r="L203" i="5"/>
  <c r="M120" i="5"/>
  <c r="L120" i="5"/>
  <c r="M114" i="5"/>
  <c r="L114" i="5"/>
  <c r="M61" i="5"/>
  <c r="L61" i="5"/>
  <c r="M124" i="5"/>
  <c r="L124" i="5"/>
  <c r="M39" i="5"/>
  <c r="L39" i="5"/>
  <c r="M201" i="5"/>
  <c r="L201" i="5"/>
  <c r="M80" i="5"/>
  <c r="L80" i="5"/>
  <c r="M183" i="5"/>
  <c r="L183" i="5"/>
  <c r="M234" i="5"/>
  <c r="L234" i="5"/>
  <c r="M214" i="5"/>
  <c r="L214" i="5"/>
  <c r="M272" i="5"/>
  <c r="L272" i="5"/>
  <c r="M324" i="5"/>
  <c r="L324" i="5"/>
  <c r="M6" i="5"/>
  <c r="L6" i="5"/>
  <c r="M113" i="5"/>
  <c r="L113" i="5"/>
  <c r="M8" i="5"/>
  <c r="L8" i="5"/>
  <c r="M49" i="5"/>
  <c r="L49" i="5"/>
  <c r="M97" i="5"/>
  <c r="L97" i="5"/>
  <c r="M148" i="5"/>
  <c r="L148" i="5"/>
  <c r="M294" i="5"/>
  <c r="L294" i="5"/>
  <c r="M63" i="5"/>
  <c r="L63" i="5"/>
  <c r="M150" i="5"/>
  <c r="L150" i="5"/>
  <c r="M28" i="5"/>
  <c r="L28" i="5"/>
  <c r="M60" i="5"/>
  <c r="L60" i="5"/>
  <c r="M92" i="5"/>
  <c r="L92" i="5"/>
  <c r="M143" i="5"/>
  <c r="L143" i="5"/>
  <c r="M240" i="5"/>
  <c r="L240" i="5"/>
  <c r="M221" i="5"/>
  <c r="L221" i="5"/>
  <c r="M258" i="5"/>
  <c r="L258" i="5"/>
  <c r="M260" i="5"/>
  <c r="L260" i="5"/>
  <c r="M226" i="5"/>
  <c r="L226" i="5"/>
  <c r="M289" i="5"/>
  <c r="L289" i="5"/>
  <c r="M296" i="5"/>
  <c r="L296" i="5"/>
  <c r="M303" i="5"/>
  <c r="L303" i="5"/>
  <c r="M161" i="5"/>
  <c r="L161" i="5"/>
  <c r="M139" i="5"/>
  <c r="L139" i="5"/>
  <c r="M217" i="5"/>
  <c r="L217" i="5"/>
  <c r="M51" i="5"/>
  <c r="L51" i="5"/>
  <c r="M141" i="5"/>
  <c r="L141" i="5"/>
  <c r="M310" i="5"/>
  <c r="L310" i="5"/>
  <c r="M54" i="5"/>
  <c r="L54" i="5"/>
  <c r="M86" i="5"/>
  <c r="L86" i="5"/>
  <c r="M128" i="5"/>
  <c r="L128" i="5"/>
  <c r="M199" i="5"/>
  <c r="L199" i="5"/>
  <c r="M202" i="5"/>
  <c r="L202" i="5"/>
  <c r="M249" i="5"/>
  <c r="L249" i="5"/>
  <c r="M251" i="5"/>
  <c r="L251" i="5"/>
  <c r="M220" i="5"/>
  <c r="L220" i="5"/>
  <c r="M277" i="5"/>
  <c r="L277" i="5"/>
  <c r="M284" i="5"/>
  <c r="L284" i="5"/>
  <c r="M291" i="5"/>
  <c r="L291" i="5"/>
  <c r="M185" i="5"/>
  <c r="L185" i="5"/>
  <c r="M189" i="5"/>
  <c r="L189" i="5"/>
  <c r="E6" i="14" l="1"/>
  <c r="J3" i="14"/>
  <c r="D4" i="14"/>
  <c r="I5" i="14"/>
  <c r="I10" i="14"/>
  <c r="I6" i="14"/>
  <c r="D2" i="14"/>
  <c r="F6" i="9"/>
  <c r="D7" i="14"/>
  <c r="E10" i="14"/>
  <c r="E6" i="9"/>
  <c r="E5" i="9"/>
  <c r="D15" i="14"/>
  <c r="E12" i="14"/>
  <c r="I11" i="14"/>
  <c r="E5" i="14"/>
  <c r="E4" i="14"/>
  <c r="J2" i="14"/>
  <c r="E15" i="14"/>
  <c r="D6" i="14"/>
  <c r="I12" i="14"/>
  <c r="I15" i="14"/>
  <c r="J5" i="14"/>
  <c r="I2" i="14"/>
  <c r="K2" i="14" s="1"/>
  <c r="D14" i="14"/>
  <c r="F5" i="9"/>
  <c r="I8" i="14"/>
  <c r="D12" i="14"/>
  <c r="E7" i="14"/>
  <c r="E3" i="14"/>
  <c r="D3" i="14"/>
  <c r="D9" i="14"/>
  <c r="I14" i="14"/>
  <c r="D11" i="14"/>
  <c r="D10" i="14"/>
  <c r="J4" i="14"/>
  <c r="E11" i="14"/>
  <c r="I9" i="14"/>
  <c r="E14" i="14"/>
  <c r="J6" i="14"/>
  <c r="E8" i="14"/>
  <c r="J15" i="14"/>
  <c r="F4" i="9"/>
  <c r="E9" i="14"/>
  <c r="E2" i="14"/>
  <c r="G2" i="14" s="1"/>
  <c r="G3" i="14" s="1"/>
  <c r="G4" i="14" s="1"/>
  <c r="D5" i="14"/>
  <c r="I3" i="14"/>
  <c r="I7" i="14"/>
  <c r="J12" i="14"/>
  <c r="I4" i="14"/>
  <c r="J11" i="14"/>
  <c r="J9" i="14"/>
  <c r="J10" i="14"/>
  <c r="D8" i="14"/>
  <c r="F3" i="9"/>
  <c r="J8" i="14"/>
  <c r="J7" i="14"/>
  <c r="J14" i="14"/>
  <c r="L2" i="14"/>
  <c r="L3" i="14" s="1"/>
  <c r="F2" i="14"/>
  <c r="L4" i="14" l="1"/>
  <c r="L5" i="14" s="1"/>
  <c r="L6" i="14" s="1"/>
  <c r="L7" i="14" s="1"/>
  <c r="L8" i="14" s="1"/>
  <c r="L9" i="14" s="1"/>
  <c r="L10" i="14" s="1"/>
  <c r="L11" i="14" s="1"/>
  <c r="L12" i="14" s="1"/>
  <c r="L14" i="14" s="1"/>
  <c r="L15" i="14" s="1"/>
  <c r="E11" i="1" s="1"/>
  <c r="E12" i="1" s="1"/>
  <c r="G5" i="14"/>
  <c r="G6" i="14" s="1"/>
  <c r="G7" i="14" s="1"/>
  <c r="G8" i="14" s="1"/>
  <c r="G9" i="14" s="1"/>
  <c r="G10" i="14" s="1"/>
  <c r="G11" i="14" s="1"/>
  <c r="G12" i="14" s="1"/>
  <c r="G14" i="14" s="1"/>
  <c r="G15" i="14" s="1"/>
  <c r="E3" i="1" s="1"/>
  <c r="E7" i="1" s="1"/>
  <c r="F3" i="14"/>
  <c r="F4" i="14" s="1"/>
  <c r="F5" i="14" s="1"/>
  <c r="F6" i="14" s="1"/>
  <c r="F7" i="14" s="1"/>
  <c r="F8" i="14" s="1"/>
  <c r="F9" i="14" s="1"/>
  <c r="F10" i="14" s="1"/>
  <c r="F11" i="14" s="1"/>
  <c r="F12" i="14" s="1"/>
  <c r="F14" i="14" s="1"/>
  <c r="F15" i="14" s="1"/>
  <c r="K3" i="14"/>
  <c r="K4" i="14" s="1"/>
  <c r="K5" i="14" s="1"/>
  <c r="K6" i="14" s="1"/>
  <c r="K7" i="14" s="1"/>
  <c r="K8" i="14" s="1"/>
  <c r="K9" i="14" s="1"/>
  <c r="K10" i="14" s="1"/>
  <c r="K11" i="14" s="1"/>
  <c r="K12" i="14" s="1"/>
  <c r="K14" i="14" s="1"/>
  <c r="K15" i="14" s="1"/>
  <c r="D11" i="1" s="1"/>
  <c r="D18" i="1" s="1"/>
  <c r="E9" i="1" l="1"/>
  <c r="E4" i="1"/>
  <c r="E16" i="1"/>
  <c r="E15" i="1"/>
  <c r="E18" i="1"/>
  <c r="E17" i="1"/>
  <c r="E14" i="1"/>
  <c r="E13" i="1"/>
  <c r="D16" i="1"/>
  <c r="D15" i="1"/>
  <c r="D12" i="1"/>
  <c r="E8" i="1"/>
  <c r="D14" i="1"/>
  <c r="D17" i="1"/>
  <c r="D13" i="1"/>
  <c r="E10" i="1"/>
  <c r="E6" i="1"/>
  <c r="E5" i="1"/>
</calcChain>
</file>

<file path=xl/sharedStrings.xml><?xml version="1.0" encoding="utf-8"?>
<sst xmlns="http://schemas.openxmlformats.org/spreadsheetml/2006/main" count="3649" uniqueCount="960">
  <si>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</si>
  <si>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</si>
  <si>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</si>
  <si>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</si>
  <si>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</si>
  <si>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</si>
  <si>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</si>
  <si>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</si>
  <si>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</si>
  <si>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</si>
  <si>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</si>
  <si>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</si>
  <si>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</si>
  <si>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</si>
  <si>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</si>
  <si>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</si>
  <si>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</si>
  <si>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Οκτόβριος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</si>
  <si>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</si>
  <si>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</si>
  <si>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</si>
  <si>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</si>
  <si>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</si>
  <si>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</si>
  <si>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</si>
  <si>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</si>
  <si>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</si>
  <si>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</si>
  <si>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</si>
  <si>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</si>
  <si>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</si>
  <si>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OTE</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</si>
  <si>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</si>
  <si>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</si>
  <si>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</si>
  <si>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</si>
  <si>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</si>
  <si>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</si>
  <si>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</si>
  <si>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</si>
  <si>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</si>
  <si>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</si>
  <si>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</si>
  <si>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</si>
  <si>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</si>
  <si>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</si>
  <si>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</si>
  <si>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</si>
  <si>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</si>
  <si>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</si>
  <si>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</si>
  <si>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</si>
  <si>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</si>
  <si>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</si>
  <si>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</si>
  <si>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</si>
  <si>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</si>
  <si>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</si>
  <si>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</si>
  <si>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</si>
  <si>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</si>
  <si>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</si>
  <si>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</si>
  <si>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</si>
  <si>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</si>
  <si>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</si>
  <si>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</si>
  <si>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</si>
  <si>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</si>
  <si>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</si>
  <si>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</si>
  <si>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</si>
  <si>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</si>
  <si>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</si>
  <si>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</si>
  <si>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</si>
  <si>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</si>
  <si>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</si>
  <si>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</si>
  <si>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</si>
  <si>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</si>
  <si>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</si>
  <si>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</si>
  <si>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</si>
  <si>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</si>
  <si>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</si>
  <si>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</si>
  <si>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</si>
  <si>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</si>
  <si>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</si>
  <si>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</si>
  <si>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</si>
  <si>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</si>
  <si>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</si>
  <si>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</si>
  <si>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</si>
  <si>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</si>
  <si>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</si>
  <si>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</si>
  <si>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</si>
  <si>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</si>
  <si>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</si>
  <si>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</si>
  <si>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</si>
  <si>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</si>
  <si>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</si>
  <si>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</si>
  <si>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</si>
  <si>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</si>
  <si>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</si>
  <si>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</si>
  <si>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</si>
  <si>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</si>
  <si>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</si>
  <si>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</si>
  <si>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</si>
  <si>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</si>
  <si>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</si>
  <si>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</si>
  <si>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</si>
  <si>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</si>
  <si>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</si>
  <si>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</si>
  <si>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</si>
  <si>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</si>
  <si>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</si>
  <si>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</si>
  <si>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</si>
  <si>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</si>
  <si>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</si>
  <si>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</si>
  <si>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</si>
  <si>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</si>
  <si>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</si>
  <si>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</si>
  <si>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</si>
  <si>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</si>
  <si>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</si>
  <si>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</si>
  <si>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</si>
  <si>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</si>
  <si>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</si>
  <si>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</si>
  <si>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</si>
  <si>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</si>
  <si>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</si>
  <si>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</si>
  <si>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</si>
  <si>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</si>
  <si>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</si>
  <si>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</si>
  <si>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</si>
  <si>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</si>
  <si>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</si>
  <si>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</si>
  <si>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</si>
  <si>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</si>
  <si>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</si>
  <si>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</si>
  <si>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</si>
  <si>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</si>
  <si>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</si>
  <si>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</si>
  <si>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</si>
  <si>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</si>
  <si>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</si>
  <si>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</si>
  <si>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</si>
  <si>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</si>
  <si>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</si>
  <si>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</si>
  <si>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</si>
  <si>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</si>
  <si>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</si>
  <si>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</si>
  <si>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</si>
  <si>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</si>
  <si>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</si>
  <si>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</si>
  <si>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</si>
  <si>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</si>
  <si>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</si>
  <si>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</si>
  <si>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</si>
  <si>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</si>
  <si>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</si>
  <si>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</si>
  <si>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</si>
  <si>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</si>
  <si>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</si>
  <si>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</si>
  <si>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</si>
  <si>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</si>
  <si>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</si>
  <si>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</si>
  <si>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</si>
  <si>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</si>
  <si>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</si>
  <si>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</si>
  <si>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</si>
  <si>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</si>
  <si>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</si>
  <si>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</si>
  <si>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</si>
  <si>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</si>
  <si>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</si>
  <si>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</si>
  <si>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</si>
  <si>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</si>
  <si>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</si>
  <si>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</si>
  <si>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</si>
  <si>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</si>
  <si>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</si>
  <si>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</si>
  <si>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</si>
  <si>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</si>
  <si>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</si>
  <si>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</si>
  <si>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</si>
  <si>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</si>
  <si>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</si>
  <si>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</si>
  <si>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</si>
  <si>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</si>
  <si>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</si>
  <si>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</si>
  <si>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</si>
  <si>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</si>
  <si>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</si>
  <si>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</si>
  <si>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</si>
  <si>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</si>
  <si>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</si>
  <si>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</si>
  <si>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</si>
  <si>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</si>
  <si>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</si>
  <si>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</si>
  <si>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</si>
  <si>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</si>
  <si>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</si>
  <si>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</si>
  <si>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</si>
  <si>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</si>
  <si>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</si>
  <si>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</si>
  <si>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</si>
  <si>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</si>
  <si>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</si>
  <si>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</si>
  <si>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</si>
  <si>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</si>
  <si>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</si>
  <si>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</si>
  <si>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</si>
  <si>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</si>
  <si>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</si>
  <si>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</si>
  <si>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</si>
  <si>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</si>
  <si>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</si>
  <si>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</si>
  <si>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</si>
  <si>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</si>
  <si>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</si>
  <si>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</si>
  <si>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</si>
  <si>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</si>
  <si>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</si>
  <si>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</si>
  <si>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</si>
  <si>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</si>
  <si>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</si>
  <si>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</si>
  <si>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</si>
  <si>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</si>
  <si>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</si>
  <si>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</si>
  <si>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</si>
  <si>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</si>
  <si>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</si>
  <si>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</si>
  <si>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</si>
  <si>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</si>
  <si>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</si>
  <si>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</si>
  <si>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</si>
  <si>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</si>
  <si>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</si>
  <si>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</si>
  <si>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</si>
  <si>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</si>
  <si>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</si>
  <si>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</si>
  <si>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</si>
  <si>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</si>
  <si>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</si>
  <si>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</si>
  <si>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</si>
  <si>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</si>
  <si>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</si>
  <si>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</si>
  <si>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</si>
  <si>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</si>
  <si>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</si>
  <si>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</si>
  <si>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</si>
  <si>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</si>
  <si>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</si>
  <si>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</si>
  <si>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</si>
  <si>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</si>
  <si>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</si>
  <si>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</si>
  <si>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</si>
  <si>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</si>
  <si>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</si>
  <si>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</si>
  <si>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</si>
  <si>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</si>
  <si>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</si>
  <si>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</si>
  <si>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</si>
  <si>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</si>
  <si>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</si>
  <si>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</si>
  <si>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</si>
  <si>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</si>
  <si>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</si>
  <si>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</si>
  <si>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</si>
  <si>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</si>
  <si>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</si>
  <si>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</si>
  <si>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</si>
  <si>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</si>
  <si>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</si>
  <si>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</si>
  <si>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</si>
  <si>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</si>
  <si>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</si>
  <si>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</si>
  <si>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</si>
  <si>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</si>
  <si>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</si>
  <si>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</si>
  <si>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</si>
  <si>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</si>
  <si>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</si>
  <si>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</si>
  <si>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</si>
  <si>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</si>
  <si>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</si>
  <si>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</si>
  <si>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</si>
  <si>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</si>
  <si>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</si>
  <si>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</si>
  <si>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</si>
  <si>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</si>
  <si>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</si>
  <si>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</si>
  <si>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</si>
  <si>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</si>
  <si>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</si>
  <si>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</si>
  <si>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</si>
  <si>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</si>
  <si>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</si>
  <si>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</si>
  <si>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</si>
  <si>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</si>
  <si>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</si>
  <si>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</si>
  <si>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</si>
  <si>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</si>
  <si>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</si>
  <si>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</si>
  <si>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</si>
  <si>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</si>
  <si>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</si>
  <si>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</si>
  <si>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</si>
  <si>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</si>
  <si>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</si>
  <si>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</si>
  <si>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</si>
  <si>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</si>
  <si>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</si>
  <si>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</si>
  <si>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</si>
  <si>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</si>
  <si>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</si>
  <si>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</si>
  <si>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</si>
  <si>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</si>
  <si>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</si>
  <si>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</si>
  <si>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</si>
  <si>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</si>
  <si>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</si>
  <si>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</si>
  <si>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</si>
  <si>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</si>
  <si>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</si>
  <si>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</si>
  <si>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</si>
  <si>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</si>
  <si>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</si>
  <si>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</si>
  <si>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</si>
  <si>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</si>
  <si>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</si>
  <si>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</si>
  <si>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</si>
  <si>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</si>
  <si>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</si>
  <si>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</si>
  <si>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</si>
  <si>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</si>
  <si>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</si>
  <si>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</si>
  <si>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</si>
  <si>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</si>
  <si>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</si>
  <si>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</si>
  <si>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</si>
  <si>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</si>
  <si>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</si>
  <si>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</si>
  <si>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</si>
  <si>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</si>
  <si>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</si>
  <si>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</si>
  <si>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</si>
  <si>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</si>
  <si>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Πακέτο 1</t>
  </si>
  <si>
    <t>Πακέτο 2</t>
  </si>
  <si>
    <t>Τιμή</t>
  </si>
  <si>
    <t>Ονομαστική Ταχύτητα</t>
  </si>
  <si>
    <t>Μέση τιμή</t>
  </si>
  <si>
    <t>Β01</t>
  </si>
  <si>
    <t>Κατεύθυνση</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</si>
  <si>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</si>
  <si>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</si>
  <si>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</si>
  <si>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</si>
  <si>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</si>
  <si>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</si>
  <si>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</si>
  <si>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Υποβολή Αρχείου
χωρικής πληροφορίας</t>
  </si>
  <si>
    <t>ΕΛΕΓΧΟΣ ΟΡΘΟΤΗΤΑΣ</t>
  </si>
  <si>
    <t>Είδος Χωρητικότητας</t>
  </si>
  <si>
    <t>B02</t>
  </si>
  <si>
    <t>Μέση Χωρητικότητα Εθνικής Διασύνδεσης</t>
  </si>
  <si>
    <t>Μέση Χωρητικότητα Διεθνούς Διασύνδεσης</t>
  </si>
  <si>
    <t>Μέση Ονομαστική Απαίτηση Χωρητικότητας</t>
  </si>
  <si>
    <t>Εξάμηνο</t>
  </si>
  <si>
    <t>Ποσοστό Αποτυχημένων Κλήσεων (%)</t>
  </si>
  <si>
    <t>Β04</t>
  </si>
  <si>
    <t>Τερματικές συσκευές</t>
  </si>
  <si>
    <t>Άλλο</t>
  </si>
  <si>
    <t>Ποσοστό % ταχύτερα ικανοποιούμενων παραγγελιών</t>
  </si>
  <si>
    <t>Πληροφορίες για Τρόπους Υποβολής Παραγγελιών και Ώρες Λειτουργίας</t>
  </si>
  <si>
    <t>Ακρίβεια Συναντήσεων με Πελάτη</t>
  </si>
  <si>
    <t>B05</t>
  </si>
  <si>
    <t>B07</t>
  </si>
  <si>
    <t>B06</t>
  </si>
  <si>
    <t>B03</t>
  </si>
  <si>
    <t>Πληροφορίες για Τρόπους Υποβολής Αναφορών Βλάβης, Ώρες Λειτουργίας και Χρεώσεις</t>
  </si>
  <si>
    <t>Όρια διακινούμενου όγκου δεδομένων</t>
  </si>
  <si>
    <t>Μηχανισμοί μορφοποίησης κίνησης</t>
  </si>
  <si>
    <t>Περιορισμοί συγκεκριμένων εφαρμογών / υπηρεσιών</t>
  </si>
  <si>
    <t>Περιορισμοί δυνατότητας παραμετροποίησης ή /και πλήρους διαχείρισης του τερματικού εξοπλισμού</t>
  </si>
  <si>
    <t>Επίπεδο ποιότητας υπηρεσίας</t>
  </si>
  <si>
    <t>Κατηγορία Συνδρομητών</t>
  </si>
  <si>
    <t>Κόστος (€)</t>
  </si>
  <si>
    <t>B08</t>
  </si>
  <si>
    <t>Μετρική</t>
  </si>
  <si>
    <t>Υψηλότερο 95% δείγματος μετρήσεων</t>
  </si>
  <si>
    <t>Χαμηλότερο 5% δείγματος μετρήσεων</t>
  </si>
  <si>
    <t>URL με πληροφορίες για τους όρους του συμβολαίου</t>
  </si>
  <si>
    <t>Είδη κλήσεων</t>
  </si>
  <si>
    <t>Εθνικές</t>
  </si>
  <si>
    <t>Διεθνείς</t>
  </si>
  <si>
    <t>ΕΛΕΓΧΟΣ ΟΡΘΟΤΗΤΑΣ ΔΠ B01:</t>
  </si>
  <si>
    <t>Υποβολή</t>
  </si>
  <si>
    <t>ΕΛΕΓΧΟΣ ΟΡΘΟΤΗΤΑΣ ΔΠ B02:</t>
  </si>
  <si>
    <t>ΕΛΕΓΧΟΣ ΟΡΘΟΤΗΤΑΣ ΔΠ B03:</t>
  </si>
  <si>
    <t>ΕΛΕΓΧΟΣ ΟΡΘΟΤΗΤΑΣ ΔΠ B04:</t>
  </si>
  <si>
    <t>ΕΛΕΓΧΟΣ ΟΡΘΟΤΗΤΑΣ ΔΠ B05:</t>
  </si>
  <si>
    <t>ΕΛΕΓΧΟΣ ΟΡΘΟΤΗΤΑΣ ΔΠ B06:</t>
  </si>
  <si>
    <t>ΕΛΕΓΧΟΣ ΟΡΘΟΤΗΤΑΣ ΔΠ B07:</t>
  </si>
  <si>
    <t>ΕΛΕΓΧΟΣ ΟΡΘΟΤΗΤΑΣ ΔΠ B08:</t>
  </si>
  <si>
    <t>Υποβολή ΔΠ</t>
  </si>
  <si>
    <t>ΔΗΜΟΣ - ΠΕΡΙΦΕΡΕΙΑ</t>
  </si>
  <si>
    <t>Μέτρηση Πακέτου</t>
  </si>
  <si>
    <t>CYTA</t>
  </si>
  <si>
    <t>Αριθμός Παραδεκτών Αναφορών Βλάβης ανά Γραμμή Πρόσβασης (Σύνδεση)</t>
  </si>
  <si>
    <t>Ποσοστό % των ταχύτερα Επιδιορθωμένων Βλαβών</t>
  </si>
  <si>
    <t>Operator</t>
  </si>
  <si>
    <t>KPIcode</t>
  </si>
  <si>
    <t>ServiceType</t>
  </si>
  <si>
    <t>Metrics</t>
  </si>
  <si>
    <t>TransmitDirection</t>
  </si>
  <si>
    <t>MeasurementArea</t>
  </si>
  <si>
    <t>Packet</t>
  </si>
  <si>
    <t>MeasurementValue</t>
  </si>
  <si>
    <t>Notes</t>
  </si>
  <si>
    <t>noUse</t>
  </si>
  <si>
    <t>CapacityValue</t>
  </si>
  <si>
    <t>EndUsersAverage</t>
  </si>
  <si>
    <t>CapacityType</t>
  </si>
  <si>
    <t>CallType</t>
  </si>
  <si>
    <t>CallFailRate</t>
  </si>
  <si>
    <t>NoUse</t>
  </si>
  <si>
    <t>Terminals</t>
  </si>
  <si>
    <t>QualityValue</t>
  </si>
  <si>
    <t>Quality</t>
  </si>
  <si>
    <t>Ποιότητα Αριθμητικά</t>
  </si>
  <si>
    <t>FasterServingPercent</t>
  </si>
  <si>
    <t>OperatorTime</t>
  </si>
  <si>
    <t>AdministratorTime</t>
  </si>
  <si>
    <t>TotalTime</t>
  </si>
  <si>
    <t>OntimeCompletions</t>
  </si>
  <si>
    <t>poProcedure</t>
  </si>
  <si>
    <t>meetingsPrecission</t>
  </si>
  <si>
    <t>VerifiedFaults</t>
  </si>
  <si>
    <t>MeanLines</t>
  </si>
  <si>
    <t>VerifiedFaultsPerLine</t>
  </si>
  <si>
    <t>ComplainSubmittionInfo</t>
  </si>
  <si>
    <t>OperatorTime2</t>
  </si>
  <si>
    <t>AdministratorTime2</t>
  </si>
  <si>
    <t>TotalTime2</t>
  </si>
  <si>
    <t>meetingsPrecision</t>
  </si>
  <si>
    <t>LastChangeDate</t>
  </si>
  <si>
    <t>TrafficLimits</t>
  </si>
  <si>
    <t>ShapingEngines</t>
  </si>
  <si>
    <t>ApplicationRestrictions</t>
  </si>
  <si>
    <t>EquipmentRestrictions</t>
  </si>
  <si>
    <t>QoS</t>
  </si>
  <si>
    <t>SubscriberCategory</t>
  </si>
  <si>
    <t>ServiceCost</t>
  </si>
  <si>
    <t>ContactURL</t>
  </si>
  <si>
    <t>Περιοχή</t>
  </si>
  <si>
    <r>
      <t xml:space="preserve">Χωρητικότητα
(Mbps)
</t>
    </r>
    <r>
      <rPr>
        <b/>
        <sz val="9"/>
        <color rgb="FFC00000"/>
        <rFont val="Calibri"/>
        <family val="2"/>
        <charset val="161"/>
        <scheme val="minor"/>
      </rPr>
      <t>(Ακέραια αριθμητική τιμή)</t>
    </r>
  </si>
  <si>
    <r>
      <t xml:space="preserve">Μέσο Πλήθος Τελικών Χρηστών
</t>
    </r>
    <r>
      <rPr>
        <b/>
        <sz val="9"/>
        <color rgb="FFC00000"/>
        <rFont val="Calibri"/>
        <family val="2"/>
        <charset val="161"/>
        <scheme val="minor"/>
      </rPr>
      <t>(Ακέραια αριθμητική τιμή)</t>
    </r>
  </si>
  <si>
    <t>Πάροχος (εκτός λίστας):</t>
  </si>
  <si>
    <r>
      <t xml:space="preserve">Ποσοστό Αποτυχημένων Κλήσεων (%)
</t>
    </r>
    <r>
      <rPr>
        <b/>
        <sz val="9"/>
        <color rgb="FFC00000"/>
        <rFont val="Calibri"/>
        <family val="2"/>
        <charset val="161"/>
        <scheme val="minor"/>
      </rPr>
      <t>(αριθμητική τιμή με 2 δεκαδικά)</t>
    </r>
  </si>
  <si>
    <t>Σφάλματα</t>
  </si>
  <si>
    <r>
      <t xml:space="preserve">ΤΚ στα οποία πραγματοποιήθηκαν μετρήσεις
</t>
    </r>
    <r>
      <rPr>
        <b/>
        <sz val="9"/>
        <color rgb="FFC00000"/>
        <rFont val="Calibri"/>
        <family val="2"/>
        <charset val="161"/>
        <scheme val="minor"/>
      </rPr>
      <t>(Συμπλήρωση υποχρεωτικά του 1ου πεδίου)</t>
    </r>
  </si>
  <si>
    <t>ΠΑΝΕΛΛΑΔΙΚΑ</t>
  </si>
  <si>
    <t>ΤΚ Τερματικό Σημείο</t>
  </si>
  <si>
    <t>Ενέργεια</t>
  </si>
  <si>
    <r>
      <t xml:space="preserve">Άλλος τύπος συσκευής
</t>
    </r>
    <r>
      <rPr>
        <b/>
        <sz val="9"/>
        <color rgb="FFC00000"/>
        <rFont val="Calibri"/>
        <family val="2"/>
        <charset val="161"/>
        <scheme val="minor"/>
      </rPr>
      <t>(συμπληρώνεται μόνο όταν στις «Τερματικές συσκευές» επιλεγεί «Άλλο»)</t>
    </r>
  </si>
  <si>
    <r>
      <t xml:space="preserve">Χρόνος Παρόχου
(ημέρες)
</t>
    </r>
    <r>
      <rPr>
        <b/>
        <sz val="9"/>
        <color rgb="FFC00000"/>
        <rFont val="Calibri"/>
        <family val="2"/>
        <charset val="161"/>
        <scheme val="minor"/>
      </rPr>
      <t>(Αριθμητική τιμή με 2 δεκαδικά)</t>
    </r>
  </si>
  <si>
    <r>
      <t xml:space="preserve">Ποσοστό Παραγγελιών που έχουν Ολοκληρωθεί μέχρι Ημερομηνία που Συμφωνήθηκε με Πελάτη (%)
</t>
    </r>
    <r>
      <rPr>
        <b/>
        <sz val="9"/>
        <color rgb="FFC00000"/>
        <rFont val="Calibri"/>
        <family val="2"/>
        <charset val="161"/>
        <scheme val="minor"/>
      </rPr>
      <t>(Αριθμητική τιμή με 2 δεκαδικά)</t>
    </r>
  </si>
  <si>
    <t xml:space="preserve">Χρόνος Παρόχου
(ημέρες)
</t>
  </si>
  <si>
    <t>Χρόνος Παρόχου
(ημέρες)</t>
  </si>
  <si>
    <r>
      <t xml:space="preserve">Αριθμός Παραδεκτών Αναφορών Βλάβης
</t>
    </r>
    <r>
      <rPr>
        <b/>
        <sz val="9"/>
        <color rgb="FFC00000"/>
        <rFont val="Calibri"/>
        <family val="2"/>
        <charset val="161"/>
        <scheme val="minor"/>
      </rPr>
      <t>(Ακέραια αριθμητική τιμή)</t>
    </r>
  </si>
  <si>
    <r>
      <t xml:space="preserve">Μέση Τιμή Γραμμών Πρόσβασης
</t>
    </r>
    <r>
      <rPr>
        <b/>
        <sz val="9"/>
        <color rgb="FFC00000"/>
        <rFont val="Calibri"/>
        <family val="2"/>
        <charset val="161"/>
        <scheme val="minor"/>
      </rPr>
      <t>(Ακέραια αριθμητική τιμή)</t>
    </r>
  </si>
  <si>
    <r>
      <t xml:space="preserve">Χρόνος Παρόχου για αποκατάσταση βλαβών γραμμής πρόσβασης
(ώρες)
</t>
    </r>
    <r>
      <rPr>
        <b/>
        <sz val="9"/>
        <color rgb="FFC00000"/>
        <rFont val="Calibri"/>
        <family val="2"/>
        <charset val="161"/>
        <scheme val="minor"/>
      </rPr>
      <t>(αριθμητική τιμή με 2 δεκαδικά)</t>
    </r>
  </si>
  <si>
    <r>
      <t xml:space="preserve">Χρόνος Διαχειριστή για αποκατάσταση βλαβών γραμμής πρόσβασης
(ώρες)
</t>
    </r>
    <r>
      <rPr>
        <b/>
        <sz val="9"/>
        <color rgb="FFC00000"/>
        <rFont val="Calibri"/>
        <family val="2"/>
        <charset val="161"/>
        <scheme val="minor"/>
      </rPr>
      <t>(αριθμητική τιμή με 2 δεκαδικά)</t>
    </r>
  </si>
  <si>
    <t>Συνολικός Χρόνος για αποκατάσταση βλαβών γραμμής πρόσβασης
(ώρες)</t>
  </si>
  <si>
    <r>
      <t xml:space="preserve">Συνολικός Χρόνος για αποκατάσταση υπολοίπων βλαβών
(ώρες)
</t>
    </r>
    <r>
      <rPr>
        <b/>
        <sz val="9"/>
        <color rgb="FFC00000"/>
        <rFont val="Calibri"/>
        <family val="2"/>
        <charset val="161"/>
        <scheme val="minor"/>
      </rPr>
      <t>(Ακέραια αριθμητική τιμή)</t>
    </r>
  </si>
  <si>
    <r>
      <t xml:space="preserve">Ημερομηνία τελευταίας μεταβολής
</t>
    </r>
    <r>
      <rPr>
        <b/>
        <sz val="9"/>
        <color rgb="FFC00000"/>
        <rFont val="Calibri"/>
        <family val="2"/>
        <charset val="161"/>
        <scheme val="minor"/>
      </rPr>
      <t>(Ημερομηνία με τη μορφή ΗΗ/ΜΜ/ΕΕΕΕ)</t>
    </r>
  </si>
  <si>
    <t>Συνολικός χρόνος
(ημέρες)</t>
  </si>
  <si>
    <r>
      <t xml:space="preserve">Χρόνος Διαχειριστή
(ημέρες)
</t>
    </r>
    <r>
      <rPr>
        <b/>
        <sz val="9"/>
        <color rgb="FFC00000"/>
        <rFont val="Calibri"/>
        <family val="2"/>
        <charset val="161"/>
        <scheme val="minor"/>
      </rPr>
      <t>(Αριθμητική τιμή με 2 δεκαδικά, σε περίπτωση που ο διαχειριστής της γραμμής (π.χ. ΟΤΕ) είναι διαφορετικός από τον πάροχο της υπηρεσίας)</t>
    </r>
  </si>
  <si>
    <r>
      <t xml:space="preserve">Χρόνος Διαχειριστή για αποκατάσταση βλαβών γραμμής πρόσβασης
(ώρες)
</t>
    </r>
    <r>
      <rPr>
        <b/>
        <sz val="9"/>
        <color rgb="FFC00000"/>
        <rFont val="Calibri"/>
        <family val="2"/>
        <charset val="161"/>
        <scheme val="minor"/>
      </rPr>
      <t>(αριθμητική τιμή με 2 δεκαδικά, σε περίπτωση που ο διαχειριστής της γραμμής (π.χ. ΟΤΕ) είναι διαφορετικός από τον πάροχο της υπηρεσίας)</t>
    </r>
  </si>
  <si>
    <t>Πρέπει να συμπληρωθούν υποχρεωτικά χρόνοι παρόχου ή/και Διαχειριστή</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</si>
  <si>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</si>
  <si>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</si>
  <si>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</si>
  <si>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xml:space="preserve">  |  Το Ποσοστό Παραγγελιών που έχουν Ολοκληρωθεί μέχρι Ημερομηνία που Συμφωνήθηκε με Πελάτη πρέπει να είναι αριθμός από 0 έως 100</t>
  </si>
  <si>
    <t>ΤΚ στα οποία πραγματοποιήθηκαν μετρήσεις</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</si>
  <si>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</si>
  <si>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</si>
  <si>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</si>
  <si>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</si>
  <si>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</si>
  <si>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</si>
  <si>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</si>
  <si>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</si>
  <si>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</si>
  <si>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</si>
  <si>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</si>
  <si>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</si>
  <si>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</si>
  <si>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</si>
  <si>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</si>
  <si>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</si>
  <si>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</si>
  <si>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</si>
  <si>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</si>
  <si>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</si>
  <si>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</si>
  <si>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</si>
  <si>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</si>
  <si>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</si>
  <si>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</si>
  <si>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</si>
  <si>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</si>
  <si>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</si>
  <si>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</si>
  <si>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</si>
  <si>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</si>
  <si>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</si>
  <si>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</si>
  <si>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</si>
  <si>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</si>
  <si>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</si>
  <si>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</si>
  <si>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</si>
  <si>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</si>
  <si>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</si>
  <si>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</si>
  <si>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</si>
  <si>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</si>
  <si>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</si>
  <si>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</si>
  <si>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</si>
  <si>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</si>
  <si>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</si>
  <si>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</si>
  <si>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</si>
  <si>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</si>
  <si>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</si>
  <si>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</si>
  <si>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</si>
  <si>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</si>
  <si>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</si>
  <si>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</si>
  <si>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</si>
  <si>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</si>
  <si>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</si>
  <si>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</si>
  <si>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</si>
  <si>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</si>
  <si>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</si>
  <si>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</si>
  <si>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</si>
  <si>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</si>
  <si>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</si>
  <si>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</si>
  <si>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</si>
  <si>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</si>
  <si>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</si>
  <si>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</si>
  <si>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</si>
  <si>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</si>
  <si>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</si>
  <si>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</si>
  <si>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</si>
  <si>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</si>
  <si>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</si>
  <si>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</si>
  <si>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</si>
  <si>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</si>
  <si>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</si>
  <si>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</si>
  <si>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</si>
  <si>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</si>
  <si>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</si>
  <si>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</si>
  <si>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</si>
  <si>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</si>
  <si>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</si>
  <si>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</si>
  <si>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</si>
  <si>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</si>
  <si>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</si>
  <si>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</si>
  <si>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</si>
  <si>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</si>
  <si>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</si>
  <si>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</si>
  <si>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</si>
  <si>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</si>
  <si>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</si>
  <si>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</si>
  <si>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</si>
  <si>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</si>
  <si>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</si>
  <si>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</si>
  <si>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</si>
  <si>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</si>
  <si>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</si>
  <si>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</si>
  <si>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</si>
  <si>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</si>
  <si>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</si>
  <si>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</si>
  <si>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</si>
  <si>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</si>
  <si>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</si>
  <si>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</si>
  <si>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</si>
  <si>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</si>
  <si>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</si>
  <si>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</si>
  <si>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</si>
  <si>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</si>
  <si>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</si>
  <si>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</si>
  <si>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</si>
  <si>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</si>
  <si>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</si>
  <si>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</si>
  <si>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</si>
  <si>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</si>
  <si>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</si>
  <si>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</si>
  <si>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</si>
  <si>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</si>
  <si>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</si>
  <si>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</si>
  <si>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</si>
  <si>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</si>
  <si>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</si>
  <si>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</si>
  <si>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</si>
  <si>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</si>
  <si>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</si>
  <si>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</si>
  <si>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</si>
  <si>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</si>
  <si>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</si>
  <si>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</si>
  <si>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</si>
  <si>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</si>
  <si>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</si>
  <si>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</si>
  <si>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</si>
  <si>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</si>
  <si>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</si>
  <si>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</si>
  <si>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</si>
  <si>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</si>
  <si>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</si>
  <si>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</si>
  <si>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</si>
  <si>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</si>
  <si>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</si>
  <si>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</si>
  <si>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</si>
  <si>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</si>
  <si>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</si>
  <si>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</si>
  <si>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</si>
  <si>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</si>
  <si>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</si>
  <si>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</si>
  <si>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</si>
  <si>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</si>
  <si>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</si>
  <si>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</si>
  <si>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</si>
  <si>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</si>
  <si>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</si>
  <si>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</si>
  <si>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</si>
  <si>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</si>
  <si>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</si>
  <si>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</si>
  <si>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</si>
  <si>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</si>
  <si>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</si>
  <si>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</si>
  <si>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</si>
  <si>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</si>
  <si>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</si>
  <si>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</si>
  <si>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</si>
  <si>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</si>
  <si>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</si>
  <si>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</si>
  <si>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</si>
  <si>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</si>
  <si>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</si>
  <si>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</si>
  <si>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</si>
  <si>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</si>
  <si>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</si>
  <si>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</si>
  <si>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</si>
  <si>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</si>
  <si>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</si>
  <si>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</si>
  <si>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</si>
  <si>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</si>
  <si>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</si>
  <si>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</si>
  <si>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</si>
  <si>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</si>
  <si>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</si>
  <si>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</si>
  <si>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</si>
  <si>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</si>
  <si>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</si>
  <si>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</si>
  <si>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</si>
  <si>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</si>
  <si>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</si>
  <si>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</si>
  <si>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</si>
  <si>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</si>
  <si>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</si>
  <si>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</si>
  <si>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</si>
  <si>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</si>
  <si>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</si>
  <si>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</si>
  <si>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</si>
  <si>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</si>
  <si>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</si>
  <si>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</si>
  <si>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</si>
  <si>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</si>
  <si>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</si>
  <si>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</si>
  <si>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</si>
  <si>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</si>
  <si>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</si>
  <si>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</si>
  <si>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</si>
  <si>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</si>
  <si>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</si>
  <si>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</si>
  <si>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</si>
  <si>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</si>
  <si>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</si>
  <si>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</si>
  <si>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</si>
  <si>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</si>
  <si>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</si>
  <si>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</si>
  <si>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</si>
  <si>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</si>
  <si>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</si>
  <si>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</si>
  <si>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</si>
  <si>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</si>
  <si>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</si>
  <si>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</si>
  <si>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</si>
  <si>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</si>
  <si>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</si>
  <si>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</si>
  <si>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</si>
  <si>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</si>
  <si>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</si>
  <si>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</si>
  <si>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</si>
  <si>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</si>
  <si>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</si>
  <si>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</si>
  <si>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</si>
  <si>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</si>
  <si>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</si>
  <si>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</si>
  <si>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</si>
  <si>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</si>
  <si>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</si>
  <si>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</si>
  <si>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</si>
  <si>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</si>
  <si>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</si>
  <si>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</si>
  <si>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</si>
  <si>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</si>
  <si>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</si>
  <si>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</si>
  <si>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</si>
  <si>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</si>
  <si>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</si>
  <si>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</si>
  <si>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</si>
  <si>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</si>
  <si>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</si>
  <si>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</si>
  <si>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</si>
  <si>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</si>
  <si>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</si>
  <si>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</si>
  <si>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</si>
  <si>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</si>
  <si>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</si>
  <si>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</si>
  <si>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</si>
  <si>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</si>
  <si>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</si>
  <si>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</si>
  <si>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</si>
  <si>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</si>
  <si>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</si>
  <si>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</si>
  <si>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</si>
  <si>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</si>
  <si>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</si>
  <si>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t>Orchard_Measurement_Id</t>
  </si>
  <si>
    <t>Orchard_Route_Title</t>
  </si>
  <si>
    <t>Data for User Packet-1</t>
  </si>
  <si>
    <t>Data for User Packet-2</t>
  </si>
  <si>
    <t>Area ID for
Orchard Packet-1</t>
  </si>
  <si>
    <t>Area Name for
Orchard Packet-1</t>
  </si>
  <si>
    <t>Orchard ID Sum Packet-1</t>
  </si>
  <si>
    <t>Orchard Name Sum Packet-1</t>
  </si>
  <si>
    <t>Area ID for
Orchard Packet-2</t>
  </si>
  <si>
    <t>Area Name for
Orchard Packet-2</t>
  </si>
  <si>
    <t>Orchard ID Sum
Packet-2</t>
  </si>
  <si>
    <t>Orchard Name Sum
Packet-2</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</si>
  <si>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</si>
  <si>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</si>
  <si>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</si>
  <si>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50% των ταχύτερα αποκατεστημένων βλαβών δεν μπορεί να είναι μεγαλύτερος του αντίστοιχου χρόνου για το 95%</t>
  </si>
  <si>
    <t xml:space="preserve">  |  Πρέπει να συμπληρωθούν υποχρεωτικά ο συνολικός Χρόνος για αποκατάσταση υπολοίπων βλαβών</t>
  </si>
  <si>
    <t xml:space="preserve">  |  Ο χρόνος του 50% των ταχύτερα αποκατεστημένων υπολοίπων βλαβών δεν μπορεί να είναι μεγαλύτερος του αντίστοιχου χρόνου για το 95%</t>
  </si>
  <si>
    <t>ΕΛΕΓΧΟΣ ΣΤΟΙΧΕΙΩΝ ΠΑΡΟΧΟΥ
ΚΑΙ ΠΕΡΙΟΔΟΥ ΜΕΤΡΗΣΗΣ:</t>
  </si>
  <si>
    <t>FaultSubmissionInfo</t>
  </si>
  <si>
    <r>
      <t xml:space="preserve">Διάταξη αναφοράς
</t>
    </r>
    <r>
      <rPr>
        <b/>
        <sz val="9"/>
        <color rgb="FFC00000"/>
        <rFont val="Calibri"/>
        <family val="2"/>
        <charset val="161"/>
        <scheme val="minor"/>
      </rPr>
      <t>(Αν γίνουν μετρήσεις και για διαφορετική διάταξη αναφοράς να προστεθεί η τιμή "2")</t>
    </r>
  </si>
  <si>
    <r>
      <t>Αριθμός Πακέτου 1
ΤΚ στα οποία πραγματοποιήθηκαν μετρήσεις για τον ΔΠ Β01
(</t>
    </r>
    <r>
      <rPr>
        <b/>
        <sz val="10"/>
        <color rgb="FFC00000"/>
        <rFont val="Calibri"/>
        <family val="2"/>
        <charset val="161"/>
        <scheme val="minor"/>
      </rPr>
      <t>Επιλέξετε έως 14)</t>
    </r>
  </si>
  <si>
    <r>
      <t>Αριθμός Πακέτου 2
ΤΚ στα οποία πραγματοποιήθηκαν μετρήσεις για τον ΔΠ Β01
(</t>
    </r>
    <r>
      <rPr>
        <b/>
        <sz val="10"/>
        <color rgb="FFC00000"/>
        <rFont val="Calibri"/>
        <family val="2"/>
        <charset val="161"/>
        <scheme val="minor"/>
      </rPr>
      <t>Επιλέξετε έως 14)</t>
    </r>
  </si>
  <si>
    <r>
      <t xml:space="preserve">Τιμή
(Mbps)
</t>
    </r>
    <r>
      <rPr>
        <b/>
        <sz val="9"/>
        <color rgb="FFC00000"/>
        <rFont val="Calibri"/>
        <family val="2"/>
        <charset val="161"/>
        <scheme val="minor"/>
      </rPr>
      <t xml:space="preserve">(αριθμητική τιμή με 2 δεκαδικά, Αν το κελί γίνει πορτοκαλί υπάρχει </t>
    </r>
    <r>
      <rPr>
        <b/>
        <u/>
        <sz val="9"/>
        <color rgb="FFC00000"/>
        <rFont val="Calibri"/>
        <family val="2"/>
        <charset val="161"/>
        <scheme val="minor"/>
      </rPr>
      <t>πιθανότητα</t>
    </r>
    <r>
      <rPr>
        <b/>
        <sz val="9"/>
        <color rgb="FFC00000"/>
        <rFont val="Calibri"/>
        <family val="2"/>
        <charset val="161"/>
        <scheme val="minor"/>
      </rPr>
      <t xml:space="preserve"> σφάλματος)</t>
    </r>
  </si>
  <si>
    <t>Περιοχές</t>
  </si>
  <si>
    <t>totalareas</t>
  </si>
  <si>
    <t>Ηρακλείου Αττικής</t>
  </si>
  <si>
    <t>WIND</t>
  </si>
  <si>
    <t>TransmitDirection2</t>
  </si>
  <si>
    <r>
      <t xml:space="preserve">Ονομαστική Ταχύτητα
</t>
    </r>
    <r>
      <rPr>
        <b/>
        <sz val="9"/>
        <color rgb="FFC00000"/>
        <rFont val="Calibri"/>
        <family val="2"/>
        <charset val="161"/>
        <scheme val="minor"/>
      </rPr>
      <t>(Λαμβάνεται από τις δύο πρώτες γραμμές της επόμενης στήλης για κάθε πακέτο ονομαστικής ταχύτητας)</t>
    </r>
  </si>
  <si>
    <t>Ονομαστικές
τιμές Upload</t>
  </si>
  <si>
    <t>Ονομαστικές
τιμές Download</t>
  </si>
  <si>
    <t>VODAFONE</t>
  </si>
  <si>
    <t>ΑΤΤΙΚΗΣ - ΚΗΦΙΣΙΑΣ</t>
  </si>
  <si>
    <t>ΚΕΝΤΡΙΚΗΣ ΜΑΚΕΔΟΝΙΑΣ - ΠΑΥΛΟΥ ΜΕΛΑ</t>
  </si>
  <si>
    <t>ΘΕΣΣΑΛΙΑΣ - ΛΑΡΙΣΑΙΩΝ</t>
  </si>
  <si>
    <t>ΗΠΕΙΡΟΥ - ΙΩΑΝΝΙΤΩΝ</t>
  </si>
  <si>
    <t>ΑΝΑΤΟΛΙΚΗΣ ΜΑΚΕΔΟΝΙΑΣ ΚΑΙ ΘΡΑΚΗΣ - ΚΑΒΑΛΑΣ</t>
  </si>
  <si>
    <t>ΚΕΝΤΡΙΚΗΣ ΜΑΚΕΔΟΝΙΑΣ - ΒΕΡΟΙΑΣ</t>
  </si>
  <si>
    <t>ΔΥΤΙΚΗΣ ΜΑΚΕΔΟΝΙΑΣ - ΚΑΣΤΟΡΙΑΣ</t>
  </si>
  <si>
    <t>ΠΕΛΟΠΟΝΝΗΣΟΥ - ΞΥΛΟΚΑΣΤΡΟΥ – ΕΥΡΩΣΤΙΝΗΣ</t>
  </si>
  <si>
    <t>ΙΟΝΙΩΝ ΝΗΣΩΝ - ΚΕΡΚΥΡΑΣ</t>
  </si>
  <si>
    <t>ΔΥΤΙΚΗΣ ΕΛΛΑΔΑΣ - ΠΑΤΡΕΩΝ</t>
  </si>
  <si>
    <t>ΣΤΕΡΕΑΣ ΕΛΛΑΔΑΣ - ΘΗΒΑΙΩΝ</t>
  </si>
  <si>
    <t>ΚΡΗΤΗΣ - ΗΡΑΚΛΕΙΟΥ</t>
  </si>
  <si>
    <t>ΒΟΡΕΙΟΥ ΑΙΓΑΙΟΥ - ΣΑΜΟΥ</t>
  </si>
  <si>
    <t>ΝΟΤΙΟΥ ΑΙΓΑΙΟΥ - ΣΥΡΟΥ – ΕΡΜΟΥΠΟΛΗΣ</t>
  </si>
  <si>
    <t>Οι μετρήσεις ξεκίνησαν 1/1/2018 και είχαν διάρκεια 5 μήνες. Λόγο προβλημάτων στις μετρήσεις πραγματοποιήθηκαν επιπλέον μετρήσεις τον Ιούνιο 2018</t>
  </si>
  <si>
    <t>Οι μετρήσεις αφορούν το πρώτο εξάμηνο του 2018 από 1/1 μέχρι και 30/06.</t>
  </si>
  <si>
    <t>Οι μετρήσεις ξεκίνησαν 1/1/2018 και είχαν διάρκεια 5 μήνες</t>
  </si>
  <si>
    <t>ΑΤΤΙΚΗΣ - ΑΘΗΝΑΙΩΝ</t>
  </si>
  <si>
    <t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t>
  </si>
  <si>
    <t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t>
  </si>
  <si>
    <t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t>
  </si>
  <si>
    <t>15.1.2014</t>
  </si>
  <si>
    <t>'Οι ονομαστικές ταχύτητες ADSL / VDSL αποτελούν τις μέγιστες δυνατές ταχύτητες. Ωστόσο, η παροχή τους σε καμιά περίπτωση δεν είναι εγγυημένη από την Εταιρεία, επειδή εξαρτώνται από συνθήκες και τεχνικές παραμέτρους πέραν του ελέγχου αυτής. Η Εταιρεία υποχρεούται να καταβάλει κάθε δυνατή προσπάθεια, ώστε οι παρεχόμενες στον Πελάτη Υπηρεσίες της να είναι του υψηλότερου επιπέδου ποιότητας, λαμβανομένων υπ’ όψιν των τεχνικών χαρακτηριστικών και των συνακόλουθων περιορισμών της υποδομής και της θέσης εκάστου Πελάτη, καθώς και να εξασφαλίζει ελάχιστο λόγο συγκέντρωσης 1:40 (ή 1:20 για επαγγελματικά προϊόντα).</t>
  </si>
  <si>
    <t>Δεν εφαρμόζεται</t>
  </si>
  <si>
    <t>Α. Για την παροχή υπηρεσιών με δυναμική διεύθυνση IP (Dynamic IP Address) και για την καλή λειτουργία του δικτύου του, η hol  διατηρεί το δικαίωμα να διακόπτει και επανασυνδέει στιγμιαία  τη σύνδεση Internet του πελάτη για την ανανέωση της διεύθυνσης IP. 
Β. Απαγόρευση πρόσβασης σε συγκεκριμένους  ιστότοπο δυνάμει της υπ’ αριθμόν 65/8/24.07.2013 Απόφασης της Επιτροπής Εποπτείας και Ελέγχου Παιγνίων (Ε.Ε.Ε.Π.), καθώς έχουν συμπεριληφθεί σε κατάλογο (black list) της εν λόγω Αρχής που αφορά σε ιστότοπους που λειτουργούν χωρίς την απαιτούμενη με βάση την Ελληνική νομοθεσία άδεια (σχετική ιστοσελίδα της Ε.Ε.Ε.Π. στη διεύθυνση  http://www.gamingcommission.gov.gr/index.php/el/</t>
  </si>
  <si>
    <t>Ο χρήστης δε δύναται να προβεί σε αναβάθμιση/αλλαγή του λογισμικού του εξοπλισμού.</t>
  </si>
  <si>
    <t>Σχόλιο ΕΕΤΤ: Οι τιμές με κόκκινο δεν επιβεβαιώνονται από τα αρχεία καταγραφής μετρήσεων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</si>
</sst>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1"/>
      <color theme="0" tint="-4.9989318521683403E-2"/>
      <name val="Calibri"/>
      <family val="2"/>
      <charset val="161"/>
      <scheme val="minor"/>
    </font>
    <font>
      <sz val="11"/>
      <name val="Calibri"/>
      <family val="2"/>
      <charset val="161"/>
      <scheme val="minor"/>
    </font>
    <font>
      <b/>
      <sz val="9"/>
      <color rgb="FFC00000"/>
      <name val="Calibri"/>
      <family val="2"/>
      <charset val="161"/>
      <scheme val="minor"/>
    </font>
    <font>
      <b/>
      <sz val="11"/>
      <color theme="0"/>
      <name val="Calibri"/>
      <family val="2"/>
      <charset val="161"/>
      <scheme val="minor"/>
    </font>
    <font>
      <sz val="11"/>
      <color theme="0"/>
      <name val="Calibri"/>
      <family val="2"/>
      <charset val="161"/>
      <scheme val="minor"/>
    </font>
    <font>
      <sz val="11"/>
      <color theme="1" tint="0.34998626667073579"/>
      <name val="Calibri"/>
      <family val="2"/>
      <charset val="161"/>
      <scheme val="minor"/>
    </font>
    <font>
      <b/>
      <sz val="10"/>
      <color rgb="FFC00000"/>
      <name val="Calibri"/>
      <family val="2"/>
      <charset val="161"/>
      <scheme val="minor"/>
    </font>
    <font>
      <sz val="11"/>
      <color rgb="FFFF0000"/>
      <name val="Calibri"/>
      <family val="2"/>
      <charset val="161"/>
      <scheme val="minor"/>
    </font>
    <font>
      <b/>
      <u/>
      <sz val="9"/>
      <color rgb="FFC00000"/>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theme="8" tint="-0.499984740745262"/>
      </left>
      <right style="medium">
        <color indexed="64"/>
      </right>
      <top style="medium">
        <color indexed="64"/>
      </top>
      <bottom style="double">
        <color indexed="64"/>
      </bottom>
      <diagonal/>
    </border>
    <border>
      <left style="thin">
        <color theme="8" tint="-0.499984740745262"/>
      </left>
      <right style="medium">
        <color indexed="64"/>
      </right>
      <top/>
      <bottom style="thin">
        <color indexed="64"/>
      </bottom>
      <diagonal/>
    </border>
    <border>
      <left style="thin">
        <color theme="8" tint="-0.499984740745262"/>
      </left>
      <right style="medium">
        <color indexed="64"/>
      </right>
      <top/>
      <bottom/>
      <diagonal/>
    </border>
    <border>
      <left style="thin">
        <color theme="8" tint="-0.499984740745262"/>
      </left>
      <right style="medium">
        <color indexed="64"/>
      </right>
      <top/>
      <bottom style="medium">
        <color theme="8" tint="-0.499984740745262"/>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theme="8" tint="-0.499984740745262"/>
      </left>
      <right style="medium">
        <color indexed="64"/>
      </right>
      <top style="medium">
        <color indexed="64"/>
      </top>
      <bottom style="double">
        <color theme="8" tint="-0.499984740745262"/>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diagonal/>
    </border>
    <border>
      <left/>
      <right/>
      <top style="medium">
        <color indexed="64"/>
      </top>
      <bottom style="double">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s>
  <cellStyleXfs count="1">
    <xf numFmtId="0" fontId="0" fillId="0" borderId="0"/>
  </cellStyleXfs>
  <cellXfs count="317">
    <xf numFmtId="0" fontId="0" fillId="0" borderId="0" xfId="0"/>
    <xf numFmtId="0" fontId="1" fillId="0" borderId="0" xfId="0" applyFont="1"/>
    <xf numFmtId="0" fontId="0" fillId="0" borderId="1" xfId="0" applyBorder="1"/>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0" fillId="3" borderId="8"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8" xfId="0" applyNumberFormat="1" applyFill="1" applyBorder="1" applyAlignment="1">
      <alignment horizontal="left" vertical="top"/>
    </xf>
    <xf numFmtId="0" fontId="2" fillId="2" borderId="1" xfId="0" applyFont="1" applyFill="1" applyBorder="1" applyAlignment="1">
      <alignment vertical="top" wrapText="1"/>
    </xf>
    <xf numFmtId="0" fontId="0" fillId="3" borderId="1" xfId="0" applyFill="1" applyBorder="1" applyAlignment="1">
      <alignment vertical="top" wrapText="1"/>
    </xf>
    <xf numFmtId="0" fontId="1" fillId="0" borderId="0" xfId="0" applyFont="1" applyAlignment="1">
      <alignment wrapText="1"/>
    </xf>
    <xf numFmtId="0" fontId="0" fillId="3" borderId="19" xfId="0" applyFill="1" applyBorder="1" applyAlignment="1">
      <alignment horizontal="left" vertical="top" wrapText="1"/>
    </xf>
    <xf numFmtId="0" fontId="3" fillId="3" borderId="17" xfId="0" applyFont="1" applyFill="1" applyBorder="1" applyAlignment="1">
      <alignment horizontal="center" vertical="top"/>
    </xf>
    <xf numFmtId="0" fontId="3" fillId="3" borderId="1" xfId="0" applyFont="1" applyFill="1" applyBorder="1" applyAlignment="1">
      <alignment horizontal="center" vertical="top"/>
    </xf>
    <xf numFmtId="0" fontId="3" fillId="3" borderId="18" xfId="0" applyFont="1" applyFill="1" applyBorder="1" applyAlignment="1">
      <alignment horizontal="center" vertical="top"/>
    </xf>
    <xf numFmtId="0" fontId="3" fillId="3" borderId="5" xfId="0" applyFont="1" applyFill="1" applyBorder="1" applyAlignment="1">
      <alignment horizontal="center" vertical="top"/>
    </xf>
    <xf numFmtId="0" fontId="0" fillId="3" borderId="7" xfId="0" applyFill="1" applyBorder="1" applyAlignment="1">
      <alignment horizontal="center" vertical="top"/>
    </xf>
    <xf numFmtId="0" fontId="0" fillId="3" borderId="8" xfId="0" applyFill="1" applyBorder="1" applyAlignment="1">
      <alignment horizontal="left" vertical="top"/>
    </xf>
    <xf numFmtId="0" fontId="0" fillId="3" borderId="1" xfId="0" applyFill="1" applyBorder="1" applyAlignment="1">
      <alignment horizontal="left" vertical="top"/>
    </xf>
    <xf numFmtId="0" fontId="0" fillId="3" borderId="5" xfId="0" applyFill="1" applyBorder="1" applyAlignment="1">
      <alignment horizontal="left" vertical="top"/>
    </xf>
    <xf numFmtId="0" fontId="3" fillId="3" borderId="5" xfId="0" applyFont="1" applyFill="1" applyBorder="1" applyAlignment="1">
      <alignment horizontal="left" vertical="top"/>
    </xf>
    <xf numFmtId="0" fontId="2" fillId="2" borderId="4" xfId="0" applyFont="1" applyFill="1" applyBorder="1" applyAlignment="1">
      <alignment vertical="top" wrapText="1"/>
    </xf>
    <xf numFmtId="0" fontId="0" fillId="4" borderId="1" xfId="0" applyFill="1" applyBorder="1" applyAlignment="1">
      <alignment horizontal="left" vertical="top" wrapText="1"/>
    </xf>
    <xf numFmtId="0" fontId="0" fillId="0" borderId="0" xfId="0" applyFill="1"/>
    <xf numFmtId="0" fontId="1" fillId="5" borderId="0" xfId="0" applyFont="1" applyFill="1"/>
    <xf numFmtId="0" fontId="0" fillId="5" borderId="0" xfId="0" applyFill="1"/>
    <xf numFmtId="0" fontId="1" fillId="5" borderId="2" xfId="0" applyFont="1" applyFill="1" applyBorder="1"/>
    <xf numFmtId="0" fontId="1" fillId="5" borderId="4" xfId="0" applyFont="1" applyFill="1" applyBorder="1"/>
    <xf numFmtId="0" fontId="0" fillId="0" borderId="7" xfId="0" applyBorder="1"/>
    <xf numFmtId="0" fontId="0" fillId="0" borderId="17" xfId="0" applyBorder="1"/>
    <xf numFmtId="0" fontId="0" fillId="0" borderId="18" xfId="0" applyBorder="1"/>
    <xf numFmtId="0" fontId="2" fillId="2" borderId="11" xfId="0" applyFont="1" applyFill="1" applyBorder="1" applyAlignment="1">
      <alignment vertical="center" wrapText="1"/>
    </xf>
    <xf numFmtId="2" fontId="3" fillId="3" borderId="0" xfId="0" applyNumberFormat="1" applyFont="1" applyFill="1" applyBorder="1" applyAlignment="1">
      <alignment horizontal="left" vertical="top" wrapText="1"/>
    </xf>
    <xf numFmtId="0" fontId="0" fillId="4" borderId="5" xfId="0" applyFill="1" applyBorder="1" applyAlignment="1">
      <alignment horizontal="left" vertical="top" wrapText="1"/>
    </xf>
    <xf numFmtId="2" fontId="3" fillId="3" borderId="21" xfId="0" applyNumberFormat="1" applyFont="1" applyFill="1" applyBorder="1" applyAlignment="1">
      <alignment horizontal="left" vertical="top" wrapText="1"/>
    </xf>
    <xf numFmtId="0" fontId="1" fillId="5" borderId="24" xfId="0" applyFont="1" applyFill="1" applyBorder="1"/>
    <xf numFmtId="0" fontId="1" fillId="5" borderId="23" xfId="0" applyFont="1" applyFill="1" applyBorder="1"/>
    <xf numFmtId="0" fontId="3" fillId="3" borderId="0" xfId="0" applyFont="1" applyFill="1" applyBorder="1" applyAlignment="1">
      <alignment horizontal="left" vertical="top"/>
    </xf>
    <xf numFmtId="0" fontId="0" fillId="3" borderId="25" xfId="0" applyFill="1" applyBorder="1" applyAlignment="1">
      <alignment horizontal="center" vertical="top"/>
    </xf>
    <xf numFmtId="0" fontId="0" fillId="3" borderId="26" xfId="0" applyFill="1" applyBorder="1" applyAlignment="1">
      <alignment horizontal="left" vertical="top" wrapText="1"/>
    </xf>
    <xf numFmtId="0" fontId="3" fillId="3" borderId="28" xfId="0" applyFont="1" applyFill="1" applyBorder="1" applyAlignment="1">
      <alignment horizontal="center" vertical="top"/>
    </xf>
    <xf numFmtId="0" fontId="3" fillId="3" borderId="29" xfId="0" applyFont="1" applyFill="1" applyBorder="1" applyAlignment="1">
      <alignment horizontal="center" vertical="top"/>
    </xf>
    <xf numFmtId="0" fontId="3" fillId="3" borderId="21" xfId="0" applyFont="1" applyFill="1" applyBorder="1" applyAlignment="1">
      <alignment horizontal="left" vertical="top"/>
    </xf>
    <xf numFmtId="0" fontId="0" fillId="3" borderId="8" xfId="0" applyFill="1" applyBorder="1" applyAlignment="1">
      <alignment horizontal="center" vertical="top"/>
    </xf>
    <xf numFmtId="0" fontId="0" fillId="0" borderId="32" xfId="0" applyBorder="1" applyAlignment="1">
      <alignment horizontal="center" vertical="center"/>
    </xf>
    <xf numFmtId="0" fontId="2" fillId="2" borderId="31" xfId="0" applyFont="1" applyFill="1" applyBorder="1" applyAlignment="1">
      <alignment horizontal="center" vertical="center" wrapText="1"/>
    </xf>
    <xf numFmtId="0" fontId="0" fillId="3" borderId="26" xfId="0" applyFill="1" applyBorder="1" applyAlignment="1">
      <alignment horizontal="left" vertical="top"/>
    </xf>
    <xf numFmtId="0" fontId="3" fillId="3" borderId="5" xfId="0" applyFont="1" applyFill="1" applyBorder="1" applyAlignment="1">
      <alignment horizontal="left" vertical="top" wrapText="1"/>
    </xf>
    <xf numFmtId="0" fontId="3" fillId="3" borderId="1" xfId="0" applyFont="1" applyFill="1" applyBorder="1" applyAlignment="1">
      <alignment horizontal="left" vertical="top" wrapText="1"/>
    </xf>
    <xf numFmtId="0" fontId="2" fillId="2" borderId="33" xfId="0" applyFont="1" applyFill="1" applyBorder="1" applyAlignment="1">
      <alignment vertical="center" wrapText="1"/>
    </xf>
    <xf numFmtId="0" fontId="0" fillId="0" borderId="12" xfId="0" applyFont="1" applyBorder="1" applyAlignment="1">
      <alignment horizontal="center" vertical="center"/>
    </xf>
    <xf numFmtId="0" fontId="2" fillId="2" borderId="30" xfId="0" applyFont="1" applyFill="1" applyBorder="1" applyAlignment="1">
      <alignment horizontal="center" vertical="center" wrapText="1"/>
    </xf>
    <xf numFmtId="0" fontId="3" fillId="3" borderId="1" xfId="0" applyFont="1" applyFill="1" applyBorder="1" applyAlignment="1">
      <alignment horizontal="left" vertical="top"/>
    </xf>
    <xf numFmtId="164" fontId="3" fillId="3" borderId="1" xfId="0" applyNumberFormat="1" applyFont="1" applyFill="1" applyBorder="1" applyAlignment="1">
      <alignment horizontal="left" vertical="top"/>
    </xf>
    <xf numFmtId="164" fontId="3" fillId="3" borderId="5" xfId="0" applyNumberFormat="1" applyFont="1" applyFill="1" applyBorder="1" applyAlignment="1">
      <alignment horizontal="lef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4" fillId="3" borderId="1" xfId="0" applyFont="1" applyFill="1" applyBorder="1" applyAlignment="1">
      <alignment horizontal="left" vertical="top" wrapText="1"/>
    </xf>
    <xf numFmtId="0" fontId="3" fillId="3" borderId="8" xfId="0" applyFont="1" applyFill="1" applyBorder="1" applyAlignment="1">
      <alignment horizontal="center" vertical="top"/>
    </xf>
    <xf numFmtId="0" fontId="0" fillId="0" borderId="0" xfId="0" applyFill="1" applyBorder="1"/>
    <xf numFmtId="0" fontId="0" fillId="0" borderId="39" xfId="0" applyFill="1" applyBorder="1"/>
    <xf numFmtId="0" fontId="3" fillId="3" borderId="41" xfId="0" applyFont="1" applyFill="1" applyBorder="1" applyAlignment="1">
      <alignment horizontal="left" vertical="top"/>
    </xf>
    <xf numFmtId="0" fontId="0" fillId="3" borderId="42" xfId="0" applyFill="1" applyBorder="1" applyAlignment="1">
      <alignment horizontal="left" vertical="top"/>
    </xf>
    <xf numFmtId="0" fontId="0" fillId="3" borderId="43" xfId="0" applyFill="1" applyBorder="1" applyAlignment="1">
      <alignment horizontal="left" vertical="top"/>
    </xf>
    <xf numFmtId="0" fontId="3" fillId="3" borderId="0" xfId="0" applyFont="1" applyFill="1" applyBorder="1" applyAlignment="1">
      <alignment horizontal="center" vertical="top"/>
    </xf>
    <xf numFmtId="0" fontId="3" fillId="3" borderId="44" xfId="0" applyFont="1" applyFill="1" applyBorder="1" applyAlignment="1">
      <alignment horizontal="center" vertical="top"/>
    </xf>
    <xf numFmtId="0" fontId="0" fillId="3" borderId="26" xfId="0" applyFill="1" applyBorder="1" applyAlignment="1">
      <alignment horizontal="center" vertical="top"/>
    </xf>
    <xf numFmtId="0" fontId="3" fillId="3" borderId="21" xfId="0" applyFont="1" applyFill="1" applyBorder="1" applyAlignment="1">
      <alignment horizontal="center" vertical="top"/>
    </xf>
    <xf numFmtId="0" fontId="3" fillId="3" borderId="45" xfId="0" applyFont="1" applyFill="1" applyBorder="1" applyAlignment="1">
      <alignment horizontal="center" vertical="top"/>
    </xf>
    <xf numFmtId="0" fontId="3" fillId="3" borderId="46" xfId="0" applyFont="1" applyFill="1" applyBorder="1" applyAlignment="1">
      <alignment horizontal="left" vertical="top"/>
    </xf>
    <xf numFmtId="0" fontId="0" fillId="3" borderId="41" xfId="0" applyFill="1" applyBorder="1" applyAlignment="1">
      <alignment horizontal="left" vertical="top" wrapText="1"/>
    </xf>
    <xf numFmtId="0" fontId="0" fillId="0" borderId="44" xfId="0" applyFill="1" applyBorder="1"/>
    <xf numFmtId="0" fontId="0" fillId="3" borderId="47" xfId="0" applyFill="1" applyBorder="1" applyAlignment="1">
      <alignment horizontal="center" vertical="top"/>
    </xf>
    <xf numFmtId="0" fontId="0" fillId="3" borderId="39" xfId="0" applyFill="1" applyBorder="1" applyAlignment="1">
      <alignment horizontal="left" vertical="top"/>
    </xf>
    <xf numFmtId="0" fontId="3" fillId="3" borderId="48" xfId="0" applyFont="1" applyFill="1" applyBorder="1" applyAlignment="1">
      <alignment horizontal="center" vertical="top"/>
    </xf>
    <xf numFmtId="0" fontId="3" fillId="3" borderId="19" xfId="0" applyFont="1" applyFill="1" applyBorder="1" applyAlignment="1">
      <alignment horizontal="left" vertical="top"/>
    </xf>
    <xf numFmtId="0" fontId="3" fillId="3" borderId="19" xfId="0" applyFont="1" applyFill="1" applyBorder="1" applyAlignment="1">
      <alignment horizontal="center" vertical="top"/>
    </xf>
    <xf numFmtId="0" fontId="0" fillId="3" borderId="46" xfId="0" applyFill="1" applyBorder="1" applyAlignment="1">
      <alignment horizontal="left" vertical="top" wrapText="1"/>
    </xf>
    <xf numFmtId="0" fontId="0" fillId="0" borderId="49" xfId="0" applyBorder="1"/>
    <xf numFmtId="0" fontId="0" fillId="6" borderId="0" xfId="0" applyFill="1"/>
    <xf numFmtId="0" fontId="2" fillId="2" borderId="13" xfId="0" applyFont="1" applyFill="1" applyBorder="1" applyAlignment="1">
      <alignment vertical="top" wrapText="1"/>
    </xf>
    <xf numFmtId="0" fontId="2" fillId="2" borderId="35" xfId="0" applyFont="1" applyFill="1" applyBorder="1" applyAlignment="1">
      <alignment vertical="top" wrapText="1"/>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xf>
    <xf numFmtId="0" fontId="3" fillId="3" borderId="47" xfId="0" applyFont="1" applyFill="1" applyBorder="1" applyAlignment="1">
      <alignment horizontal="center" vertical="top"/>
    </xf>
    <xf numFmtId="0" fontId="0" fillId="3" borderId="52" xfId="0" applyFill="1" applyBorder="1" applyAlignment="1">
      <alignment horizontal="left" vertical="top"/>
    </xf>
    <xf numFmtId="0" fontId="0" fillId="3" borderId="21" xfId="0" applyFill="1" applyBorder="1" applyAlignment="1">
      <alignment horizontal="left" vertical="top"/>
    </xf>
    <xf numFmtId="0" fontId="0" fillId="3" borderId="0" xfId="0" applyFill="1" applyBorder="1" applyAlignment="1">
      <alignment horizontal="left" vertical="top"/>
    </xf>
    <xf numFmtId="0" fontId="3" fillId="3" borderId="53" xfId="0" applyFont="1" applyFill="1" applyBorder="1" applyAlignment="1">
      <alignment horizontal="left" vertical="top"/>
    </xf>
    <xf numFmtId="0" fontId="3" fillId="3" borderId="39" xfId="0" applyFont="1" applyFill="1" applyBorder="1" applyAlignment="1">
      <alignment horizontal="center" vertical="top"/>
    </xf>
    <xf numFmtId="0" fontId="0" fillId="0" borderId="39" xfId="0" applyBorder="1" applyAlignment="1" applyProtection="1">
      <alignment horizontal="center" vertical="top"/>
      <protection locked="0"/>
    </xf>
    <xf numFmtId="0" fontId="2" fillId="2" borderId="50" xfId="0" applyFont="1" applyFill="1" applyBorder="1" applyAlignment="1">
      <alignment vertical="top" wrapText="1"/>
    </xf>
    <xf numFmtId="2" fontId="0" fillId="0" borderId="39" xfId="0" applyNumberFormat="1" applyBorder="1" applyAlignment="1" applyProtection="1">
      <alignment horizontal="center" vertical="center" wrapText="1"/>
      <protection locked="0"/>
    </xf>
    <xf numFmtId="0" fontId="0" fillId="0" borderId="7" xfId="0" applyBorder="1" applyAlignment="1">
      <alignment horizontal="center" vertical="center"/>
    </xf>
    <xf numFmtId="2" fontId="0" fillId="3" borderId="9" xfId="0" applyNumberFormat="1" applyFill="1" applyBorder="1" applyAlignment="1">
      <alignment horizontal="left" wrapText="1"/>
    </xf>
    <xf numFmtId="0" fontId="0" fillId="0" borderId="17" xfId="0" applyBorder="1" applyAlignment="1">
      <alignment horizontal="center" vertical="center"/>
    </xf>
    <xf numFmtId="0" fontId="0" fillId="0" borderId="18" xfId="0" applyBorder="1" applyAlignment="1">
      <alignment horizontal="center" vertical="center"/>
    </xf>
    <xf numFmtId="2" fontId="0" fillId="3" borderId="6" xfId="0" applyNumberFormat="1" applyFill="1" applyBorder="1" applyAlignment="1">
      <alignment horizontal="left" wrapText="1"/>
    </xf>
    <xf numFmtId="0" fontId="2" fillId="2" borderId="57"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3" borderId="34" xfId="0" applyFill="1" applyBorder="1" applyAlignment="1">
      <alignment horizontal="left" vertical="top" wrapText="1"/>
    </xf>
    <xf numFmtId="0" fontId="2" fillId="2" borderId="58" xfId="0" applyFont="1" applyFill="1" applyBorder="1" applyAlignment="1">
      <alignment vertical="top" wrapText="1"/>
    </xf>
    <xf numFmtId="0" fontId="2" fillId="2" borderId="4" xfId="0" applyFont="1" applyFill="1" applyBorder="1" applyAlignment="1">
      <alignment horizontal="center" vertical="center" wrapText="1"/>
    </xf>
    <xf numFmtId="0" fontId="0" fillId="0" borderId="20" xfId="0" applyBorder="1"/>
    <xf numFmtId="0" fontId="0" fillId="0" borderId="22" xfId="0" applyBorder="1"/>
    <xf numFmtId="2" fontId="0" fillId="3" borderId="56" xfId="0" applyNumberFormat="1" applyFill="1" applyBorder="1" applyAlignment="1">
      <alignment horizontal="left" wrapText="1"/>
    </xf>
    <xf numFmtId="0" fontId="0" fillId="3" borderId="8" xfId="0" applyFill="1" applyBorder="1" applyAlignment="1" applyProtection="1">
      <alignment horizontal="center" vertical="top"/>
      <protection locked="0"/>
    </xf>
    <xf numFmtId="1" fontId="0" fillId="0" borderId="8" xfId="0" applyNumberFormat="1" applyBorder="1" applyAlignment="1" applyProtection="1">
      <alignment horizontal="left" vertical="top"/>
      <protection locked="0"/>
    </xf>
    <xf numFmtId="1" fontId="0" fillId="0" borderId="15" xfId="0" applyNumberFormat="1" applyBorder="1" applyAlignment="1" applyProtection="1">
      <alignment horizontal="left" vertical="top"/>
      <protection locked="0"/>
    </xf>
    <xf numFmtId="1" fontId="0" fillId="0" borderId="34" xfId="0" applyNumberFormat="1" applyBorder="1" applyAlignment="1" applyProtection="1">
      <alignment horizontal="left" vertical="top"/>
      <protection locked="0"/>
    </xf>
    <xf numFmtId="1" fontId="0" fillId="0" borderId="27" xfId="0" applyNumberFormat="1" applyBorder="1" applyAlignment="1" applyProtection="1">
      <alignment horizontal="left" vertical="top"/>
      <protection locked="0"/>
    </xf>
    <xf numFmtId="0" fontId="2" fillId="2" borderId="59" xfId="0" applyFont="1" applyFill="1" applyBorder="1" applyAlignment="1">
      <alignment vertical="top" wrapText="1"/>
    </xf>
    <xf numFmtId="0" fontId="0" fillId="3" borderId="39" xfId="0" applyFill="1" applyBorder="1" applyAlignment="1">
      <alignment horizontal="center" vertical="center"/>
    </xf>
    <xf numFmtId="0" fontId="0" fillId="3" borderId="19" xfId="0" applyFill="1" applyBorder="1" applyAlignment="1">
      <alignment horizontal="center" vertical="center"/>
    </xf>
    <xf numFmtId="0" fontId="0" fillId="3" borderId="42" xfId="0" applyFill="1" applyBorder="1" applyAlignment="1">
      <alignment horizontal="center" vertical="center"/>
    </xf>
    <xf numFmtId="0" fontId="3" fillId="3" borderId="60" xfId="0" applyFont="1" applyFill="1" applyBorder="1" applyAlignment="1">
      <alignment horizontal="left" vertical="top"/>
    </xf>
    <xf numFmtId="0" fontId="0" fillId="3" borderId="0" xfId="0" applyFill="1" applyBorder="1" applyAlignment="1">
      <alignment horizontal="left" vertical="top" wrapText="1"/>
    </xf>
    <xf numFmtId="0" fontId="0" fillId="3" borderId="39" xfId="0" applyFont="1" applyFill="1" applyBorder="1" applyAlignment="1">
      <alignment horizontal="center" vertical="center" wrapText="1"/>
    </xf>
    <xf numFmtId="0" fontId="0" fillId="3" borderId="8" xfId="0" applyFill="1" applyBorder="1" applyAlignment="1">
      <alignment horizontal="center" vertical="center"/>
    </xf>
    <xf numFmtId="0" fontId="0" fillId="3" borderId="5" xfId="0" applyFont="1" applyFill="1" applyBorder="1" applyAlignment="1">
      <alignment horizontal="center" vertical="center"/>
    </xf>
    <xf numFmtId="0" fontId="2" fillId="2" borderId="57" xfId="0" applyFont="1" applyFill="1" applyBorder="1" applyAlignment="1">
      <alignment horizontal="center" vertical="center" wrapText="1"/>
    </xf>
    <xf numFmtId="0" fontId="0" fillId="0" borderId="61" xfId="0" applyBorder="1" applyAlignment="1">
      <alignment horizontal="center" vertical="center"/>
    </xf>
    <xf numFmtId="0" fontId="0" fillId="0" borderId="29" xfId="0" applyBorder="1" applyAlignment="1">
      <alignment horizontal="center" vertical="center"/>
    </xf>
    <xf numFmtId="0" fontId="4" fillId="3" borderId="19" xfId="0" applyFont="1" applyFill="1" applyBorder="1" applyAlignment="1">
      <alignment horizontal="left" vertical="top" wrapText="1"/>
    </xf>
    <xf numFmtId="0" fontId="0" fillId="3" borderId="19" xfId="0" applyFont="1" applyFill="1" applyBorder="1" applyAlignment="1">
      <alignment horizontal="left" vertical="top" wrapText="1"/>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9" xfId="0" applyFill="1" applyBorder="1" applyAlignment="1" applyProtection="1">
      <alignment horizontal="center" vertical="center"/>
      <protection locked="0"/>
    </xf>
    <xf numFmtId="0" fontId="2" fillId="2" borderId="13" xfId="0" applyFont="1" applyFill="1" applyBorder="1" applyAlignment="1" applyProtection="1">
      <alignment vertical="top" wrapText="1"/>
    </xf>
    <xf numFmtId="0" fontId="0" fillId="0" borderId="26" xfId="0" applyFill="1" applyBorder="1" applyAlignment="1" applyProtection="1">
      <alignment horizontal="left" vertical="top"/>
      <protection locked="0"/>
    </xf>
    <xf numFmtId="0" fontId="2" fillId="2" borderId="62" xfId="0" applyFont="1" applyFill="1" applyBorder="1" applyAlignment="1">
      <alignment horizontal="center" vertical="center" wrapText="1"/>
    </xf>
    <xf numFmtId="2" fontId="0" fillId="3" borderId="8" xfId="0" applyNumberFormat="1" applyFill="1" applyBorder="1" applyAlignment="1" applyProtection="1">
      <alignment horizontal="left" vertical="top" wrapText="1"/>
    </xf>
    <xf numFmtId="0" fontId="3" fillId="3" borderId="39" xfId="0" applyFont="1" applyFill="1" applyBorder="1" applyAlignment="1" applyProtection="1">
      <alignment horizontal="center" vertical="top"/>
    </xf>
    <xf numFmtId="2" fontId="3" fillId="3" borderId="39" xfId="0" applyNumberFormat="1" applyFont="1" applyFill="1" applyBorder="1" applyAlignment="1" applyProtection="1">
      <alignment horizontal="center" vertical="center" wrapText="1"/>
    </xf>
    <xf numFmtId="2" fontId="3" fillId="3" borderId="19" xfId="0" applyNumberFormat="1" applyFont="1" applyFill="1" applyBorder="1" applyAlignment="1" applyProtection="1">
      <alignment horizontal="center" vertical="center" wrapText="1"/>
    </xf>
    <xf numFmtId="2" fontId="3" fillId="3" borderId="8" xfId="0" applyNumberFormat="1" applyFont="1" applyFill="1" applyBorder="1" applyAlignment="1" applyProtection="1">
      <alignment horizontal="center" vertical="center" wrapText="1"/>
    </xf>
    <xf numFmtId="2" fontId="3" fillId="3" borderId="49" xfId="0" applyNumberFormat="1" applyFont="1" applyFill="1" applyBorder="1" applyAlignment="1" applyProtection="1">
      <alignment horizontal="center" vertical="center" wrapText="1"/>
    </xf>
    <xf numFmtId="0" fontId="2" fillId="2" borderId="31" xfId="0" applyFont="1" applyFill="1" applyBorder="1" applyAlignment="1">
      <alignment horizontal="center" vertical="top" wrapText="1"/>
    </xf>
    <xf numFmtId="0" fontId="0" fillId="3" borderId="9" xfId="0" applyNumberFormat="1" applyFill="1" applyBorder="1" applyAlignment="1">
      <alignment horizontal="left" vertical="top" wrapText="1"/>
    </xf>
    <xf numFmtId="0" fontId="0" fillId="3" borderId="10" xfId="0" applyNumberFormat="1" applyFill="1" applyBorder="1" applyAlignment="1">
      <alignment wrapText="1"/>
    </xf>
    <xf numFmtId="0" fontId="0" fillId="3" borderId="6" xfId="0" applyNumberFormat="1" applyFill="1" applyBorder="1" applyAlignment="1">
      <alignment wrapText="1"/>
    </xf>
    <xf numFmtId="1" fontId="0" fillId="0" borderId="14" xfId="0" applyNumberFormat="1" applyFill="1" applyBorder="1" applyAlignment="1" applyProtection="1">
      <alignment horizontal="right" vertical="top" wrapText="1"/>
      <protection locked="0"/>
    </xf>
    <xf numFmtId="1" fontId="0" fillId="0" borderId="8" xfId="0" applyNumberFormat="1" applyFill="1" applyBorder="1" applyAlignment="1" applyProtection="1">
      <alignment horizontal="right" vertical="top" wrapText="1"/>
      <protection locked="0"/>
    </xf>
    <xf numFmtId="0" fontId="0" fillId="0" borderId="56" xfId="0" applyFill="1" applyBorder="1" applyAlignment="1">
      <alignment wrapText="1"/>
    </xf>
    <xf numFmtId="1" fontId="0" fillId="0" borderId="14"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8" xfId="0" applyNumberFormat="1" applyFill="1" applyBorder="1" applyAlignment="1" applyProtection="1">
      <alignment horizontal="left" vertical="top" wrapText="1"/>
      <protection locked="0"/>
    </xf>
    <xf numFmtId="0" fontId="0" fillId="0" borderId="40" xfId="0" applyFill="1" applyBorder="1" applyAlignment="1">
      <alignment wrapText="1"/>
    </xf>
    <xf numFmtId="0" fontId="0" fillId="0" borderId="9" xfId="0" applyFill="1" applyBorder="1" applyAlignment="1">
      <alignment wrapText="1"/>
    </xf>
    <xf numFmtId="0" fontId="0" fillId="0" borderId="8" xfId="0" applyFill="1" applyBorder="1" applyAlignment="1" applyProtection="1">
      <alignment horizontal="left" vertical="top"/>
      <protection locked="0"/>
    </xf>
    <xf numFmtId="164" fontId="0" fillId="0" borderId="8" xfId="0" applyNumberFormat="1" applyFill="1" applyBorder="1" applyAlignment="1" applyProtection="1">
      <alignment horizontal="left" vertical="top"/>
      <protection locked="0"/>
    </xf>
    <xf numFmtId="0" fontId="0" fillId="0" borderId="8"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4" fontId="0" fillId="0" borderId="8" xfId="0" applyNumberFormat="1" applyFill="1" applyBorder="1" applyAlignment="1" applyProtection="1">
      <alignment horizontal="left" vertical="top" wrapText="1"/>
      <protection locked="0"/>
    </xf>
    <xf numFmtId="4" fontId="0" fillId="0" borderId="1" xfId="0" applyNumberFormat="1" applyFill="1" applyBorder="1" applyAlignment="1" applyProtection="1">
      <alignment horizontal="left" vertical="top" wrapText="1"/>
      <protection locked="0"/>
    </xf>
    <xf numFmtId="4" fontId="0" fillId="0" borderId="5" xfId="0" applyNumberFormat="1" applyFill="1" applyBorder="1" applyAlignment="1" applyProtection="1">
      <alignment horizontal="left" vertical="top" wrapText="1"/>
      <protection locked="0"/>
    </xf>
    <xf numFmtId="4" fontId="0" fillId="0" borderId="15" xfId="0" applyNumberFormat="1" applyFill="1" applyBorder="1" applyAlignment="1" applyProtection="1">
      <alignment horizontal="left" vertical="top" wrapText="1"/>
      <protection locked="0"/>
    </xf>
    <xf numFmtId="4" fontId="0" fillId="0" borderId="34" xfId="0" applyNumberFormat="1" applyFill="1" applyBorder="1" applyAlignment="1" applyProtection="1">
      <alignment horizontal="left" vertical="top" wrapText="1"/>
      <protection locked="0"/>
    </xf>
    <xf numFmtId="0" fontId="0" fillId="0" borderId="6" xfId="0" applyBorder="1" applyProtection="1">
      <protection locked="0"/>
    </xf>
    <xf numFmtId="0" fontId="0" fillId="0" borderId="0" xfId="0" applyProtection="1">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33" xfId="0" applyFont="1" applyFill="1" applyBorder="1" applyAlignment="1" applyProtection="1">
      <alignment horizontal="center" vertical="center" wrapText="1"/>
      <protection locked="0"/>
    </xf>
    <xf numFmtId="0" fontId="0" fillId="7" borderId="0" xfId="0" applyFill="1"/>
    <xf numFmtId="0" fontId="0" fillId="7" borderId="0" xfId="0" applyFill="1" applyAlignment="1">
      <alignment vertical="center"/>
    </xf>
    <xf numFmtId="0" fontId="0" fillId="7" borderId="0" xfId="0" applyFill="1" applyAlignment="1">
      <alignment horizontal="center" vertical="center"/>
    </xf>
    <xf numFmtId="0" fontId="0" fillId="7" borderId="1" xfId="0" applyFill="1" applyBorder="1"/>
    <xf numFmtId="0" fontId="2" fillId="7" borderId="11" xfId="0" applyFont="1" applyFill="1" applyBorder="1" applyAlignment="1">
      <alignment vertical="center" wrapText="1"/>
    </xf>
    <xf numFmtId="0" fontId="0" fillId="0" borderId="8" xfId="0" applyBorder="1" applyAlignment="1" applyProtection="1">
      <alignment horizontal="center" vertical="top"/>
      <protection locked="0"/>
    </xf>
    <xf numFmtId="0" fontId="0" fillId="7" borderId="0" xfId="0" applyFill="1" applyAlignment="1">
      <alignment vertical="top"/>
    </xf>
    <xf numFmtId="0" fontId="7" fillId="7" borderId="0" xfId="0" applyFont="1" applyFill="1" applyBorder="1"/>
    <xf numFmtId="0" fontId="6" fillId="7" borderId="0" xfId="0" applyFont="1" applyFill="1" applyBorder="1" applyAlignment="1">
      <alignment vertical="top" wrapText="1"/>
    </xf>
    <xf numFmtId="3" fontId="7" fillId="7" borderId="0" xfId="0" applyNumberFormat="1" applyFont="1" applyFill="1" applyBorder="1" applyAlignment="1">
      <alignment horizontal="left" vertical="top" wrapText="1"/>
    </xf>
    <xf numFmtId="0" fontId="0" fillId="0" borderId="26" xfId="0" applyBorder="1" applyAlignment="1" applyProtection="1">
      <alignment horizontal="center" vertical="center"/>
      <protection locked="0"/>
    </xf>
    <xf numFmtId="0" fontId="0" fillId="0" borderId="41" xfId="0" applyFill="1" applyBorder="1" applyAlignment="1" applyProtection="1">
      <alignment horizontal="left" vertical="top" wrapText="1"/>
    </xf>
    <xf numFmtId="2" fontId="0" fillId="0" borderId="8" xfId="0" applyNumberFormat="1" applyBorder="1" applyAlignment="1" applyProtection="1">
      <alignment horizontal="left" vertical="top" wrapText="1"/>
      <protection locked="0"/>
    </xf>
    <xf numFmtId="2" fontId="0" fillId="0" borderId="1" xfId="0" applyNumberFormat="1" applyBorder="1" applyAlignment="1" applyProtection="1">
      <alignment horizontal="left" vertical="top" wrapText="1"/>
      <protection locked="0"/>
    </xf>
    <xf numFmtId="2" fontId="0" fillId="0" borderId="5" xfId="0" applyNumberFormat="1" applyBorder="1" applyAlignment="1" applyProtection="1">
      <alignment horizontal="left" vertical="top" wrapText="1"/>
      <protection locked="0"/>
    </xf>
    <xf numFmtId="0" fontId="2" fillId="2" borderId="3" xfId="0" applyFont="1" applyFill="1" applyBorder="1" applyAlignment="1">
      <alignment wrapText="1"/>
    </xf>
    <xf numFmtId="0" fontId="0" fillId="0" borderId="20" xfId="0" applyNumberFormat="1" applyFill="1" applyBorder="1" applyAlignment="1" applyProtection="1">
      <alignment horizontal="left" vertical="top" wrapText="1"/>
      <protection locked="0"/>
    </xf>
    <xf numFmtId="0" fontId="0" fillId="3" borderId="6" xfId="0" applyNumberFormat="1" applyFill="1" applyBorder="1" applyAlignment="1">
      <alignment horizontal="left" vertical="top" wrapText="1"/>
    </xf>
    <xf numFmtId="0" fontId="0" fillId="0" borderId="1" xfId="0"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3" borderId="1" xfId="0" applyFill="1" applyBorder="1" applyAlignment="1">
      <alignment horizontal="center" vertical="center"/>
    </xf>
    <xf numFmtId="0" fontId="0" fillId="0" borderId="10" xfId="0" applyNumberFormat="1" applyFill="1" applyBorder="1" applyAlignment="1">
      <alignment vertical="top" wrapText="1"/>
    </xf>
    <xf numFmtId="0" fontId="0" fillId="0" borderId="6" xfId="0" applyNumberFormat="1" applyFill="1" applyBorder="1" applyAlignment="1">
      <alignment vertical="top" wrapText="1"/>
    </xf>
    <xf numFmtId="0" fontId="8" fillId="7" borderId="0" xfId="0" applyFont="1" applyFill="1"/>
    <xf numFmtId="0" fontId="0" fillId="0" borderId="55" xfId="0" applyFill="1" applyBorder="1" applyAlignment="1">
      <alignment horizontal="left" vertical="top" wrapText="1"/>
    </xf>
    <xf numFmtId="0" fontId="2" fillId="2" borderId="31" xfId="0" applyFont="1" applyFill="1" applyBorder="1" applyAlignment="1">
      <alignment vertical="top" wrapText="1"/>
    </xf>
    <xf numFmtId="0" fontId="0" fillId="0" borderId="32" xfId="0" applyBorder="1" applyProtection="1">
      <protection locked="0"/>
    </xf>
    <xf numFmtId="0" fontId="0" fillId="0" borderId="63" xfId="0" applyBorder="1" applyProtection="1">
      <protection locked="0"/>
    </xf>
    <xf numFmtId="0" fontId="0" fillId="0" borderId="64" xfId="0" applyBorder="1" applyProtection="1">
      <protection locked="0"/>
    </xf>
    <xf numFmtId="0" fontId="0" fillId="3" borderId="8" xfId="0" applyFont="1" applyFill="1" applyBorder="1" applyAlignment="1" applyProtection="1">
      <alignment horizontal="left" vertical="top" wrapText="1"/>
    </xf>
    <xf numFmtId="0" fontId="0" fillId="0" borderId="0" xfId="0"/>
    <xf numFmtId="1" fontId="0" fillId="5" borderId="0" xfId="0" applyNumberFormat="1" applyFill="1"/>
    <xf numFmtId="1" fontId="0" fillId="0" borderId="0" xfId="0" applyNumberFormat="1"/>
    <xf numFmtId="1" fontId="1" fillId="5" borderId="0" xfId="0" applyNumberFormat="1" applyFont="1" applyFill="1"/>
    <xf numFmtId="0" fontId="0" fillId="8" borderId="0" xfId="0" applyFill="1"/>
    <xf numFmtId="0" fontId="0" fillId="8" borderId="0" xfId="0" applyFill="1" applyAlignment="1">
      <alignment wrapText="1"/>
    </xf>
    <xf numFmtId="0" fontId="0" fillId="9" borderId="0" xfId="0" applyFill="1"/>
    <xf numFmtId="0" fontId="0" fillId="9" borderId="0" xfId="0" applyFill="1" applyAlignment="1">
      <alignment wrapText="1"/>
    </xf>
    <xf numFmtId="0" fontId="4" fillId="0" borderId="8"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0" fillId="0" borderId="1" xfId="0" applyBorder="1" applyProtection="1"/>
    <xf numFmtId="0" fontId="2" fillId="2" borderId="58" xfId="0" applyFont="1" applyFill="1" applyBorder="1" applyAlignment="1" applyProtection="1">
      <alignment vertical="top" wrapText="1"/>
    </xf>
    <xf numFmtId="0" fontId="4" fillId="0" borderId="1" xfId="0" applyFont="1" applyFill="1" applyBorder="1" applyAlignment="1" applyProtection="1">
      <alignment horizontal="center" vertical="top"/>
    </xf>
    <xf numFmtId="0" fontId="0" fillId="7" borderId="0" xfId="0" applyFill="1" applyProtection="1"/>
    <xf numFmtId="0" fontId="2" fillId="2" borderId="3" xfId="0" applyFont="1" applyFill="1" applyBorder="1" applyAlignment="1" applyProtection="1">
      <alignment vertical="top" wrapText="1"/>
    </xf>
    <xf numFmtId="0" fontId="0" fillId="0" borderId="8" xfId="0" applyFill="1" applyBorder="1" applyAlignment="1" applyProtection="1">
      <alignment horizontal="center" vertical="top"/>
    </xf>
    <xf numFmtId="0" fontId="4" fillId="0" borderId="5" xfId="0" applyFont="1" applyFill="1" applyBorder="1" applyAlignment="1" applyProtection="1">
      <alignment horizontal="center" vertical="top"/>
    </xf>
    <xf numFmtId="0" fontId="4" fillId="0" borderId="8" xfId="0" applyFont="1" applyFill="1" applyBorder="1" applyAlignment="1" applyProtection="1">
      <alignment horizontal="center" vertical="top"/>
    </xf>
    <xf numFmtId="1" fontId="0" fillId="4" borderId="1" xfId="0" applyNumberFormat="1" applyFill="1" applyBorder="1" applyAlignment="1">
      <alignment horizontal="left" vertical="top" wrapText="1"/>
    </xf>
    <xf numFmtId="1" fontId="0" fillId="4" borderId="5" xfId="0" applyNumberFormat="1" applyFill="1" applyBorder="1" applyAlignment="1">
      <alignment horizontal="left" vertical="top" wrapText="1"/>
    </xf>
    <xf numFmtId="1" fontId="0" fillId="3" borderId="8" xfId="0" applyNumberFormat="1" applyFill="1" applyBorder="1" applyAlignment="1">
      <alignment horizontal="left" vertical="top"/>
    </xf>
    <xf numFmtId="49" fontId="0" fillId="3" borderId="8" xfId="0" applyNumberFormat="1" applyFill="1" applyBorder="1" applyAlignment="1">
      <alignment horizontal="left" vertical="top" wrapText="1"/>
    </xf>
    <xf numFmtId="49" fontId="0" fillId="4"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49" fontId="0" fillId="4" borderId="5" xfId="0" applyNumberFormat="1" applyFill="1" applyBorder="1" applyAlignment="1">
      <alignment horizontal="left" vertical="top" wrapText="1"/>
    </xf>
    <xf numFmtId="0" fontId="0" fillId="0" borderId="0" xfId="0"/>
    <xf numFmtId="0" fontId="0" fillId="0" borderId="1" xfId="0" applyBorder="1"/>
    <xf numFmtId="0" fontId="2" fillId="2" borderId="3" xfId="0" applyFont="1" applyFill="1" applyBorder="1" applyAlignment="1">
      <alignment vertical="top" wrapText="1"/>
    </xf>
    <xf numFmtId="0" fontId="0" fillId="0" borderId="0" xfId="0" applyFill="1"/>
    <xf numFmtId="2" fontId="3" fillId="3" borderId="0" xfId="0" applyNumberFormat="1" applyFont="1" applyFill="1" applyBorder="1" applyAlignment="1">
      <alignment horizontal="left" vertical="top" wrapText="1"/>
    </xf>
    <xf numFmtId="2" fontId="3" fillId="3" borderId="21" xfId="0" applyNumberFormat="1" applyFont="1" applyFill="1" applyBorder="1" applyAlignment="1">
      <alignment horizontal="left" vertical="top" wrapText="1"/>
    </xf>
    <xf numFmtId="1" fontId="0" fillId="3" borderId="8"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0" fontId="0" fillId="3" borderId="14" xfId="0" applyFill="1" applyBorder="1" applyAlignment="1">
      <alignment horizontal="left" vertical="top" wrapText="1"/>
    </xf>
    <xf numFmtId="49" fontId="3" fillId="3" borderId="37" xfId="0" applyNumberFormat="1" applyFont="1" applyFill="1" applyBorder="1" applyAlignment="1">
      <alignment wrapText="1"/>
    </xf>
    <xf numFmtId="49" fontId="3" fillId="3" borderId="38" xfId="0" applyNumberFormat="1" applyFont="1" applyFill="1" applyBorder="1" applyAlignment="1">
      <alignment wrapText="1"/>
    </xf>
    <xf numFmtId="49" fontId="3" fillId="3" borderId="20" xfId="0" applyNumberFormat="1" applyFont="1" applyFill="1" applyBorder="1" applyAlignment="1">
      <alignment wrapText="1"/>
    </xf>
    <xf numFmtId="3" fontId="0" fillId="0" borderId="37" xfId="0" applyNumberFormat="1" applyFill="1" applyBorder="1" applyAlignment="1" applyProtection="1">
      <alignment horizontal="left" vertical="top" wrapText="1"/>
      <protection locked="0"/>
    </xf>
    <xf numFmtId="3" fontId="3" fillId="3" borderId="54" xfId="0" applyNumberFormat="1" applyFont="1" applyFill="1" applyBorder="1" applyAlignment="1">
      <alignment horizontal="left" vertical="top" wrapText="1"/>
    </xf>
    <xf numFmtId="3" fontId="3" fillId="3" borderId="55" xfId="0" applyNumberFormat="1" applyFont="1" applyFill="1" applyBorder="1" applyAlignment="1">
      <alignment horizontal="left" vertical="top" wrapText="1"/>
    </xf>
    <xf numFmtId="3" fontId="3" fillId="3" borderId="56" xfId="0" applyNumberFormat="1" applyFont="1" applyFill="1" applyBorder="1" applyAlignment="1">
      <alignment horizontal="left" vertical="top" wrapText="1"/>
    </xf>
    <xf numFmtId="0" fontId="2" fillId="2" borderId="58" xfId="0" applyFont="1" applyFill="1" applyBorder="1" applyAlignment="1">
      <alignment vertical="top" wrapText="1"/>
    </xf>
    <xf numFmtId="49" fontId="0" fillId="0" borderId="40" xfId="0" applyNumberFormat="1" applyFill="1" applyBorder="1" applyAlignment="1" applyProtection="1">
      <alignment horizontal="left" vertical="top" wrapText="1"/>
      <protection locked="0"/>
    </xf>
    <xf numFmtId="3" fontId="3" fillId="3" borderId="20" xfId="0" applyNumberFormat="1" applyFont="1" applyFill="1" applyBorder="1" applyAlignment="1">
      <alignment horizontal="left" vertical="top" wrapText="1"/>
    </xf>
    <xf numFmtId="3" fontId="3" fillId="3" borderId="22" xfId="0" applyNumberFormat="1" applyFont="1" applyFill="1" applyBorder="1" applyAlignment="1">
      <alignment horizontal="left" vertical="top" wrapText="1"/>
    </xf>
    <xf numFmtId="2" fontId="0" fillId="0" borderId="8"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2" fontId="0" fillId="0" borderId="14" xfId="0" quotePrefix="1" applyNumberFormat="1" applyFill="1" applyBorder="1" applyAlignment="1" applyProtection="1">
      <alignment horizontal="left" vertical="top" wrapText="1"/>
      <protection locked="0"/>
    </xf>
    <xf numFmtId="2" fontId="0" fillId="0" borderId="9" xfId="0" quotePrefix="1" applyNumberFormat="1" applyFill="1" applyBorder="1" applyAlignment="1" applyProtection="1">
      <alignment horizontal="left" vertical="top" wrapText="1"/>
      <protection locked="0"/>
    </xf>
    <xf numFmtId="2" fontId="0" fillId="3" borderId="8" xfId="0" applyNumberFormat="1" applyFill="1" applyBorder="1" applyAlignment="1" applyProtection="1">
      <alignment horizontal="left" vertical="top" wrapText="1"/>
    </xf>
    <xf numFmtId="2" fontId="0" fillId="0" borderId="9" xfId="0" applyNumberFormat="1" applyFill="1" applyBorder="1" applyAlignment="1" applyProtection="1">
      <alignment horizontal="left" vertical="top" wrapText="1"/>
      <protection locked="0"/>
    </xf>
    <xf numFmtId="2" fontId="0" fillId="0" borderId="8" xfId="0" quotePrefix="1" applyNumberFormat="1" applyFill="1" applyBorder="1" applyAlignment="1" applyProtection="1">
      <alignment horizontal="left" vertical="top" wrapText="1"/>
      <protection locked="0"/>
    </xf>
    <xf numFmtId="0" fontId="0" fillId="7" borderId="0" xfId="0" applyFill="1"/>
    <xf numFmtId="49" fontId="0" fillId="0" borderId="36" xfId="0" applyNumberFormat="1" applyFill="1" applyBorder="1" applyAlignment="1" applyProtection="1">
      <alignment horizontal="left" vertical="top" wrapText="1"/>
      <protection locked="0"/>
    </xf>
    <xf numFmtId="0" fontId="0" fillId="0" borderId="27" xfId="0" applyFill="1" applyBorder="1" applyAlignment="1" applyProtection="1">
      <alignment horizontal="left" vertical="top"/>
      <protection locked="0"/>
    </xf>
    <xf numFmtId="0" fontId="0" fillId="0" borderId="8" xfId="0" applyFont="1" applyFill="1" applyBorder="1" applyAlignment="1">
      <alignment horizontal="left" vertical="top"/>
    </xf>
    <xf numFmtId="0" fontId="0" fillId="0" borderId="1" xfId="0" applyFont="1" applyFill="1" applyBorder="1" applyAlignment="1">
      <alignment horizontal="left" vertical="top"/>
    </xf>
    <xf numFmtId="0" fontId="0" fillId="0" borderId="5" xfId="0" applyFont="1" applyFill="1" applyBorder="1" applyAlignment="1">
      <alignment horizontal="left" vertical="top"/>
    </xf>
    <xf numFmtId="2" fontId="0" fillId="0" borderId="14" xfId="0" applyNumberFormat="1" applyFill="1" applyBorder="1" applyAlignment="1" applyProtection="1">
      <alignment horizontal="left" vertical="top" wrapText="1"/>
      <protection locked="0"/>
    </xf>
    <xf numFmtId="2" fontId="0" fillId="0" borderId="68" xfId="0" applyNumberFormat="1" applyFill="1" applyBorder="1" applyAlignment="1" applyProtection="1">
      <alignment horizontal="left" vertical="top" wrapText="1"/>
      <protection locked="0"/>
    </xf>
    <xf numFmtId="2" fontId="0" fillId="0" borderId="69" xfId="0" quotePrefix="1" applyNumberFormat="1" applyFill="1" applyBorder="1" applyAlignment="1" applyProtection="1">
      <alignment horizontal="left" vertical="top" wrapText="1"/>
      <protection locked="0"/>
    </xf>
    <xf numFmtId="4" fontId="0" fillId="3" borderId="52" xfId="0" applyNumberFormat="1" applyFill="1" applyBorder="1" applyAlignment="1">
      <alignment horizontal="center" vertical="center" wrapText="1"/>
    </xf>
    <xf numFmtId="4" fontId="0" fillId="3" borderId="14" xfId="0" applyNumberFormat="1" applyFill="1" applyBorder="1" applyAlignment="1">
      <alignment horizontal="left" vertical="top" wrapText="1"/>
    </xf>
    <xf numFmtId="0" fontId="3" fillId="3" borderId="22" xfId="0" applyFont="1" applyFill="1" applyBorder="1" applyAlignment="1">
      <alignment horizontal="left" vertical="top" wrapText="1"/>
    </xf>
    <xf numFmtId="2" fontId="3" fillId="3" borderId="28" xfId="0" applyNumberFormat="1" applyFont="1" applyFill="1" applyBorder="1" applyAlignment="1">
      <alignment wrapText="1"/>
    </xf>
    <xf numFmtId="2" fontId="3" fillId="3" borderId="0" xfId="0" applyNumberFormat="1" applyFont="1" applyFill="1" applyBorder="1" applyAlignment="1">
      <alignment wrapText="1"/>
    </xf>
    <xf numFmtId="2" fontId="3" fillId="3" borderId="20" xfId="0" applyNumberFormat="1" applyFont="1" applyFill="1" applyBorder="1" applyAlignment="1">
      <alignment wrapText="1"/>
    </xf>
    <xf numFmtId="2" fontId="3" fillId="3" borderId="21" xfId="0" applyNumberFormat="1" applyFont="1" applyFill="1" applyBorder="1" applyAlignment="1">
      <alignment wrapText="1"/>
    </xf>
    <xf numFmtId="2" fontId="3" fillId="3" borderId="22" xfId="0" applyNumberFormat="1" applyFont="1" applyFill="1" applyBorder="1" applyAlignment="1">
      <alignment wrapText="1"/>
    </xf>
    <xf numFmtId="0" fontId="0" fillId="0" borderId="55" xfId="0" applyFill="1" applyBorder="1" applyAlignment="1" applyProtection="1">
      <alignment horizontal="left" vertical="top" wrapText="1"/>
      <protection locked="0"/>
    </xf>
    <xf numFmtId="0" fontId="3" fillId="3" borderId="55" xfId="0" applyFont="1" applyFill="1" applyBorder="1" applyAlignment="1" applyProtection="1">
      <alignment horizontal="left" vertical="top" wrapText="1"/>
    </xf>
    <xf numFmtId="0" fontId="3" fillId="3" borderId="56" xfId="0" applyFont="1" applyFill="1" applyBorder="1" applyAlignment="1" applyProtection="1">
      <alignment horizontal="left" vertical="top" wrapText="1"/>
    </xf>
    <xf numFmtId="2" fontId="0" fillId="3" borderId="8" xfId="0" applyNumberFormat="1" applyFill="1" applyBorder="1" applyAlignment="1">
      <alignment horizontal="right" vertical="top" wrapText="1"/>
    </xf>
    <xf numFmtId="1" fontId="3" fillId="3" borderId="16" xfId="0" applyNumberFormat="1" applyFont="1" applyFill="1" applyBorder="1" applyAlignment="1">
      <alignment horizontal="left" vertical="top"/>
    </xf>
    <xf numFmtId="0" fontId="0" fillId="3" borderId="8" xfId="0" applyNumberFormat="1" applyFill="1" applyBorder="1" applyAlignment="1">
      <alignment horizontal="left" vertical="top" wrapText="1"/>
    </xf>
    <xf numFmtId="0" fontId="0" fillId="4" borderId="1"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0" fillId="4" borderId="5" xfId="0" applyNumberFormat="1" applyFill="1" applyBorder="1" applyAlignment="1">
      <alignment horizontal="left" vertical="top" wrapText="1"/>
    </xf>
    <xf numFmtId="0" fontId="0" fillId="3" borderId="8" xfId="0" applyNumberFormat="1" applyFill="1" applyBorder="1" applyAlignment="1">
      <alignment horizontal="left" vertical="top"/>
    </xf>
    <xf numFmtId="0" fontId="0" fillId="0" borderId="1" xfId="0" applyBorder="1" applyAlignment="1" applyProtection="1">
      <alignment wrapText="1"/>
      <protection locked="0"/>
    </xf>
    <xf numFmtId="0" fontId="4" fillId="7" borderId="0" xfId="0" applyFont="1" applyFill="1"/>
    <xf numFmtId="0" fontId="10" fillId="7" borderId="0" xfId="0" applyFont="1" applyFill="1"/>
    <xf numFmtId="0" fontId="4" fillId="3" borderId="34" xfId="0" applyFont="1" applyFill="1" applyBorder="1" applyAlignment="1">
      <alignment horizontal="left" vertical="top" wrapText="1"/>
    </xf>
    <xf numFmtId="0" fontId="0" fillId="0" borderId="2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8" xfId="0" applyBorder="1" applyAlignment="1" applyProtection="1">
      <alignment horizontal="left" wrapText="1"/>
      <protection locked="0"/>
    </xf>
    <xf numFmtId="0" fontId="0" fillId="0" borderId="45" xfId="0" applyBorder="1" applyAlignment="1" applyProtection="1">
      <alignment horizontal="left" vertical="top" wrapText="1"/>
      <protection locked="0"/>
    </xf>
    <xf numFmtId="0" fontId="0" fillId="3" borderId="51" xfId="0" applyFont="1" applyFill="1" applyBorder="1" applyAlignment="1">
      <alignment horizontal="left" vertical="top" wrapText="1"/>
    </xf>
    <xf numFmtId="0" fontId="0" fillId="3" borderId="44" xfId="0" applyFont="1" applyFill="1" applyBorder="1" applyAlignment="1">
      <alignment horizontal="left" vertical="top" wrapText="1"/>
    </xf>
    <xf numFmtId="0" fontId="0" fillId="3" borderId="43" xfId="0" applyFont="1" applyFill="1" applyBorder="1" applyAlignment="1">
      <alignment horizontal="left" vertical="top" wrapText="1"/>
    </xf>
    <xf numFmtId="2" fontId="0" fillId="3" borderId="8" xfId="0" applyNumberFormat="1" applyFont="1" applyFill="1" applyBorder="1" applyAlignment="1" applyProtection="1">
      <alignment horizontal="left" vertical="top"/>
    </xf>
    <xf numFmtId="0" fontId="0" fillId="3" borderId="0" xfId="0" applyFill="1" applyAlignment="1" applyProtection="1"/>
    <xf numFmtId="2" fontId="4" fillId="3" borderId="1" xfId="0" applyNumberFormat="1" applyFont="1" applyFill="1" applyBorder="1" applyAlignment="1" applyProtection="1">
      <alignment horizontal="left" vertical="top"/>
    </xf>
    <xf numFmtId="2" fontId="0" fillId="3" borderId="1" xfId="0" applyNumberFormat="1" applyFont="1" applyFill="1" applyBorder="1" applyAlignment="1" applyProtection="1">
      <alignment horizontal="left" vertical="top"/>
    </xf>
    <xf numFmtId="2" fontId="4" fillId="3" borderId="5" xfId="0" applyNumberFormat="1" applyFont="1" applyFill="1" applyBorder="1" applyAlignment="1" applyProtection="1">
      <alignment horizontal="left" vertical="top"/>
    </xf>
    <xf numFmtId="2" fontId="0" fillId="0" borderId="0" xfId="0" applyNumberFormat="1"/>
    <xf numFmtId="1" fontId="0" fillId="0" borderId="14" xfId="0" applyNumberFormat="1" applyBorder="1" applyAlignment="1">
      <alignment horizontal="left" vertical="top"/>
    </xf>
    <xf numFmtId="1" fontId="0" fillId="7" borderId="66" xfId="0" applyNumberFormat="1" applyFill="1" applyBorder="1"/>
    <xf numFmtId="1" fontId="0" fillId="7" borderId="0" xfId="0" applyNumberFormat="1" applyFill="1"/>
    <xf numFmtId="2" fontId="0" fillId="7" borderId="0" xfId="0" applyNumberFormat="1" applyFill="1"/>
    <xf numFmtId="1" fontId="0" fillId="3" borderId="14" xfId="0" applyNumberFormat="1" applyFill="1" applyBorder="1" applyAlignment="1" applyProtection="1">
      <alignment horizontal="left" vertical="top" wrapText="1"/>
    </xf>
    <xf numFmtId="1" fontId="0" fillId="3" borderId="8" xfId="0" applyNumberFormat="1" applyFill="1" applyBorder="1" applyAlignment="1" applyProtection="1">
      <alignment horizontal="left" vertical="top" wrapText="1"/>
    </xf>
    <xf numFmtId="0" fontId="0" fillId="0" borderId="8" xfId="0" quotePrefix="1" applyFill="1" applyBorder="1" applyAlignment="1" applyProtection="1">
      <alignment horizontal="left" vertical="top" wrapText="1"/>
      <protection locked="0"/>
    </xf>
    <xf numFmtId="2" fontId="10" fillId="0" borderId="8" xfId="0" applyNumberFormat="1" applyFont="1" applyFill="1" applyBorder="1" applyAlignment="1" applyProtection="1">
      <alignment horizontal="left" vertical="top" wrapText="1"/>
      <protection locked="0"/>
    </xf>
    <xf numFmtId="2" fontId="10" fillId="3" borderId="8" xfId="0" applyNumberFormat="1" applyFont="1" applyFill="1" applyBorder="1" applyAlignment="1" applyProtection="1">
      <alignment horizontal="left" vertical="top" wrapText="1"/>
    </xf>
    <xf numFmtId="2" fontId="4" fillId="0" borderId="8" xfId="0" applyNumberFormat="1" applyFont="1" applyFill="1" applyBorder="1" applyAlignment="1" applyProtection="1">
      <alignment horizontal="left" vertical="top" wrapText="1"/>
      <protection locked="0"/>
    </xf>
    <xf numFmtId="2" fontId="4" fillId="0" borderId="1" xfId="0" applyNumberFormat="1" applyFont="1" applyFill="1" applyBorder="1" applyAlignment="1" applyProtection="1">
      <alignment horizontal="left" vertical="top" wrapText="1"/>
      <protection locked="0"/>
    </xf>
    <xf numFmtId="2" fontId="4" fillId="0" borderId="5" xfId="0" applyNumberFormat="1" applyFont="1" applyFill="1" applyBorder="1" applyAlignment="1" applyProtection="1">
      <alignment horizontal="left" vertical="top" wrapText="1"/>
      <protection locked="0"/>
    </xf>
    <xf numFmtId="1" fontId="4" fillId="3" borderId="14" xfId="0" applyNumberFormat="1" applyFont="1" applyFill="1" applyBorder="1" applyAlignment="1">
      <alignment horizontal="left" vertical="top" wrapText="1"/>
    </xf>
    <xf numFmtId="1" fontId="4" fillId="3" borderId="1" xfId="0" applyNumberFormat="1" applyFont="1" applyFill="1" applyBorder="1" applyAlignment="1">
      <alignment horizontal="left" vertical="top" wrapText="1"/>
    </xf>
    <xf numFmtId="1" fontId="4" fillId="3" borderId="5" xfId="0" applyNumberFormat="1" applyFont="1" applyFill="1" applyBorder="1" applyAlignment="1">
      <alignment horizontal="left" vertical="top" wrapText="1"/>
    </xf>
    <xf numFmtId="1" fontId="4" fillId="3" borderId="8" xfId="0" applyNumberFormat="1" applyFont="1" applyFill="1" applyBorder="1" applyAlignment="1">
      <alignment horizontal="left" vertical="top" wrapText="1"/>
    </xf>
    <xf numFmtId="2" fontId="4" fillId="3" borderId="8" xfId="0" applyNumberFormat="1" applyFont="1" applyFill="1" applyBorder="1" applyAlignment="1" applyProtection="1">
      <alignment horizontal="left" vertical="top" wrapText="1"/>
    </xf>
    <xf numFmtId="1" fontId="4" fillId="3" borderId="65" xfId="0" applyNumberFormat="1" applyFont="1" applyFill="1" applyBorder="1" applyAlignment="1">
      <alignment horizontal="left" vertical="top" wrapText="1"/>
    </xf>
    <xf numFmtId="1" fontId="4" fillId="3" borderId="9" xfId="0" applyNumberFormat="1" applyFont="1" applyFill="1" applyBorder="1" applyAlignment="1">
      <alignment horizontal="left" vertical="top" wrapText="1"/>
    </xf>
    <xf numFmtId="1" fontId="4" fillId="3" borderId="6" xfId="0" applyNumberFormat="1" applyFont="1" applyFill="1" applyBorder="1" applyAlignment="1">
      <alignment horizontal="left" vertical="top" wrapText="1"/>
    </xf>
    <xf numFmtId="2" fontId="10" fillId="0" borderId="67" xfId="0" quotePrefix="1" applyNumberFormat="1" applyFont="1" applyFill="1" applyBorder="1" applyAlignment="1" applyProtection="1">
      <alignment horizontal="left" vertical="top" wrapText="1"/>
      <protection locked="0"/>
    </xf>
  </cellXfs>
  <cellStyles count="1">
    <cellStyle name="Κανονικό"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17</xdr:row>
      <xdr:rowOff>371475</xdr:rowOff>
    </xdr:to>
    <xdr:sp macro="" textlink="">
      <xdr:nvSpPr>
        <xdr:cNvPr id="2" name="TextBox 1"/>
        <xdr:cNvSpPr txBox="1"/>
      </xdr:nvSpPr>
      <xdr:spPr>
        <a:xfrm>
          <a:off x="0" y="752475"/>
          <a:ext cx="3314700" cy="6210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Β01</a:t>
          </a:r>
          <a:endParaRPr lang="el-GR" sz="1200" b="1" u="sng"/>
        </a:p>
        <a:p>
          <a:endParaRPr lang="el-GR" sz="1200"/>
        </a:p>
        <a:p>
          <a:r>
            <a:rPr lang="el-GR" sz="1200"/>
            <a:t>Ταχύτητα Μετάδοσης Δεδομένων στο Τμήμα Συγκέντρωσης του Δικτύου Πρόσβασης και στο Δίκτυο Κορμού</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Για την συμπλήρωση της στήλης "ΤΚ στα οποία πραγματοποιήθηκαν μετρήσεις" συμπληρώνεται το φύλλο </a:t>
          </a:r>
          <a:r>
            <a:rPr lang="en-US" sz="1200" baseline="0"/>
            <a:t>"</a:t>
          </a:r>
          <a:r>
            <a:rPr lang="el-GR" sz="1200" baseline="0"/>
            <a:t>ΤΚ ΜΕΤΡΗΣΕΩΝ</a:t>
          </a:r>
          <a:r>
            <a:rPr lang="en-US" sz="1200" baseline="0"/>
            <a:t> B01"</a:t>
          </a:r>
          <a:endParaRPr lang="el-GR" sz="1200" baseline="0"/>
        </a:p>
        <a:p>
          <a:endParaRPr lang="el-GR"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7</xdr:row>
      <xdr:rowOff>381000</xdr:rowOff>
    </xdr:to>
    <xdr:sp macro="" textlink="">
      <xdr:nvSpPr>
        <xdr:cNvPr id="2" name="TextBox 1"/>
        <xdr:cNvSpPr txBox="1"/>
      </xdr:nvSpPr>
      <xdr:spPr>
        <a:xfrm>
          <a:off x="0" y="600075"/>
          <a:ext cx="3314700" cy="23622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2</a:t>
          </a:r>
          <a:endParaRPr lang="el-GR" sz="1200" b="1" u="sng"/>
        </a:p>
        <a:p>
          <a:endParaRPr lang="el-GR" sz="1200"/>
        </a:p>
        <a:p>
          <a:r>
            <a:rPr lang="el-GR" sz="1200"/>
            <a:t>Χωρητικότητα Διασύνδεσης</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xdr:cNvSpPr txBox="1"/>
      </xdr:nvSpPr>
      <xdr:spPr>
        <a:xfrm>
          <a:off x="0" y="438150"/>
          <a:ext cx="3314700" cy="3790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3</a:t>
          </a:r>
          <a:endParaRPr lang="el-GR" sz="1200" b="1" u="sng"/>
        </a:p>
        <a:p>
          <a:endParaRPr lang="en-US" sz="1200"/>
        </a:p>
        <a:p>
          <a:r>
            <a:rPr lang="el-GR" sz="1200"/>
            <a:t>Ποσοστό αποτυχίας κλήσεων </a:t>
          </a:r>
          <a:r>
            <a:rPr lang="en-US" sz="1200"/>
            <a:t>VoIP</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504825</xdr:rowOff>
    </xdr:to>
    <xdr:sp macro="" textlink="">
      <xdr:nvSpPr>
        <xdr:cNvPr id="2" name="TextBox 1"/>
        <xdr:cNvSpPr txBox="1"/>
      </xdr:nvSpPr>
      <xdr:spPr>
        <a:xfrm>
          <a:off x="0" y="771525"/>
          <a:ext cx="3314700" cy="2133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4</a:t>
          </a:r>
          <a:endParaRPr lang="el-GR" sz="1200" b="1" u="sng"/>
        </a:p>
        <a:p>
          <a:endParaRPr lang="el-GR" sz="1200"/>
        </a:p>
        <a:p>
          <a:r>
            <a:rPr lang="el-GR" sz="1200"/>
            <a:t>Ποιότητα σύνδεσης για ομιλία </a:t>
          </a:r>
          <a:r>
            <a:rPr lang="en-US" sz="1200"/>
            <a:t>VoIP</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3314700</xdr:colOff>
      <xdr:row>29</xdr:row>
      <xdr:rowOff>179293</xdr:rowOff>
    </xdr:to>
    <xdr:sp macro="" textlink="">
      <xdr:nvSpPr>
        <xdr:cNvPr id="2" name="TextBox 1"/>
        <xdr:cNvSpPr txBox="1"/>
      </xdr:nvSpPr>
      <xdr:spPr>
        <a:xfrm>
          <a:off x="0" y="1187823"/>
          <a:ext cx="3314700" cy="59279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5</a:t>
          </a:r>
          <a:endParaRPr lang="el-GR" sz="1200" b="1" u="sng"/>
        </a:p>
        <a:p>
          <a:endParaRPr lang="el-GR" sz="1200"/>
        </a:p>
        <a:p>
          <a:r>
            <a:rPr lang="el-GR" sz="1200"/>
            <a:t>Χρόνος παροχής για αρχική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3314700</xdr:colOff>
      <xdr:row>15</xdr:row>
      <xdr:rowOff>180976</xdr:rowOff>
    </xdr:to>
    <xdr:sp macro="" textlink="">
      <xdr:nvSpPr>
        <xdr:cNvPr id="2" name="TextBox 1"/>
        <xdr:cNvSpPr txBox="1"/>
      </xdr:nvSpPr>
      <xdr:spPr>
        <a:xfrm>
          <a:off x="0" y="971551"/>
          <a:ext cx="3314700" cy="3810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6</a:t>
          </a:r>
          <a:endParaRPr lang="el-GR" sz="1200" b="1" u="sng"/>
        </a:p>
        <a:p>
          <a:endParaRPr lang="el-GR"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171450</xdr:rowOff>
    </xdr:to>
    <xdr:sp macro="" textlink="">
      <xdr:nvSpPr>
        <xdr:cNvPr id="2" name="TextBox 1"/>
        <xdr:cNvSpPr txBox="1"/>
      </xdr:nvSpPr>
      <xdr:spPr>
        <a:xfrm>
          <a:off x="0" y="1581150"/>
          <a:ext cx="3314700" cy="5715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7</a:t>
          </a:r>
          <a:endParaRPr lang="el-GR" sz="1200" b="1" u="sng"/>
        </a:p>
        <a:p>
          <a:endParaRPr lang="el-GR"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47626</xdr:colOff>
      <xdr:row>1</xdr:row>
      <xdr:rowOff>38100</xdr:rowOff>
    </xdr:from>
    <xdr:to>
      <xdr:col>13</xdr:col>
      <xdr:colOff>1828800</xdr:colOff>
      <xdr:row>1</xdr:row>
      <xdr:rowOff>390525</xdr:rowOff>
    </xdr:to>
    <xdr:sp macro="" textlink="">
      <xdr:nvSpPr>
        <xdr:cNvPr id="2" name="TextBox 1"/>
        <xdr:cNvSpPr txBox="1"/>
      </xdr:nvSpPr>
      <xdr:spPr>
        <a:xfrm>
          <a:off x="15154276" y="38100"/>
          <a:ext cx="6019799" cy="35242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1100" b="1">
              <a:solidFill>
                <a:schemeClr val="accent2">
                  <a:lumMod val="50000"/>
                </a:schemeClr>
              </a:solidFill>
            </a:rPr>
            <a:t>Παροχή υπηρεσιών εγγυημένης ποιότητας / Δυνατότητα σύναψης </a:t>
          </a:r>
          <a:r>
            <a:rPr lang="en-US" sz="1100" b="1">
              <a:solidFill>
                <a:schemeClr val="accent2">
                  <a:lumMod val="50000"/>
                </a:schemeClr>
              </a:solidFill>
            </a:rPr>
            <a:t>SLA</a:t>
          </a:r>
          <a:endParaRPr lang="el-GR" sz="1100" b="1">
            <a:solidFill>
              <a:schemeClr val="accent2">
                <a:lumMod val="50000"/>
              </a:schemeClr>
            </a:solidFill>
          </a:endParaRPr>
        </a:p>
      </xdr:txBody>
    </xdr:sp>
    <xdr:clientData/>
  </xdr:twoCellAnchor>
  <xdr:twoCellAnchor>
    <xdr:from>
      <xdr:col>0</xdr:col>
      <xdr:colOff>0</xdr:colOff>
      <xdr:row>2</xdr:row>
      <xdr:rowOff>19050</xdr:rowOff>
    </xdr:from>
    <xdr:to>
      <xdr:col>0</xdr:col>
      <xdr:colOff>3314700</xdr:colOff>
      <xdr:row>6</xdr:row>
      <xdr:rowOff>942975</xdr:rowOff>
    </xdr:to>
    <xdr:sp macro="" textlink="">
      <xdr:nvSpPr>
        <xdr:cNvPr id="3" name="TextBox 2"/>
        <xdr:cNvSpPr txBox="1"/>
      </xdr:nvSpPr>
      <xdr:spPr>
        <a:xfrm>
          <a:off x="0" y="866775"/>
          <a:ext cx="3314700" cy="47339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8</a:t>
          </a:r>
          <a:endParaRPr lang="el-GR" sz="1200" b="1" u="sng"/>
        </a:p>
        <a:p>
          <a:endParaRPr lang="el-GR" sz="1200"/>
        </a:p>
        <a:p>
          <a:r>
            <a:rPr lang="el-GR" sz="1200"/>
            <a:t>Περιορισμοί στη χρήση και Παροχή υπηρεσιών εγγυημένης ποιότητας / Δυνατότητα σύναψης Συμφωνιών Επιπέδου Υπηρεσίας (</a:t>
          </a:r>
          <a:r>
            <a:rPr lang="en-US" sz="1200"/>
            <a:t>SLAs)</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4.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3"/>
  <sheetViews>
    <sheetView topLeftCell="A5" workbookViewId="0">
      <selection activeCell="C11" sqref="C11"/>
    </sheetView>
  </sheetViews>
  <sheetFormatPr defaultColWidth="9.140625" defaultRowHeight="15" x14ac:dyDescent="0.25"/>
  <cols>
    <col min="1" max="1" width="41" style="167" customWidth="1"/>
    <col min="2" max="2" width="14.85546875" style="167" customWidth="1"/>
    <col min="3" max="3" width="58.7109375" style="167" customWidth="1"/>
    <col min="4" max="4" width="19.42578125" style="167" customWidth="1"/>
    <col min="5" max="16384" width="9.140625" style="167"/>
  </cols>
  <sheetData>
    <row r="1" spans="1:5" x14ac:dyDescent="0.25">
      <c r="A1" s="170"/>
      <c r="B1" s="170"/>
      <c r="C1" s="9" t="s">
        <v>28</v>
      </c>
    </row>
    <row r="2" spans="1:5" ht="22.5" customHeight="1" x14ac:dyDescent="0.25">
      <c r="A2" s="9" t="s">
        <v>28</v>
      </c>
      <c r="B2" s="9"/>
      <c r="C2" s="83" t="s">
        <v>932</v>
      </c>
    </row>
    <row r="3" spans="1:5" ht="22.5" customHeight="1" x14ac:dyDescent="0.25">
      <c r="A3" s="9" t="s">
        <v>548</v>
      </c>
      <c r="B3" s="9"/>
      <c r="C3" s="83"/>
    </row>
    <row r="4" spans="1:5" ht="22.5" hidden="1" customHeight="1" x14ac:dyDescent="0.25">
      <c r="A4" s="9" t="s">
        <v>28</v>
      </c>
      <c r="B4" s="9"/>
      <c r="C4" s="84" t="str">
        <f>IF(C2="",TEXT(C3,),C2)</f>
        <v>VODAFONE</v>
      </c>
    </row>
    <row r="5" spans="1:5" ht="22.5" customHeight="1" x14ac:dyDescent="0.25">
      <c r="A5" s="9" t="s">
        <v>0</v>
      </c>
      <c r="B5" s="9"/>
      <c r="C5" s="83" t="s">
        <v>24</v>
      </c>
    </row>
    <row r="6" spans="1:5" ht="22.5" customHeight="1" x14ac:dyDescent="0.25">
      <c r="A6" s="9" t="s">
        <v>1</v>
      </c>
      <c r="B6" s="9"/>
      <c r="C6" s="164">
        <v>2018</v>
      </c>
    </row>
    <row r="7" spans="1:5" ht="22.5" customHeight="1" x14ac:dyDescent="0.25">
      <c r="A7" s="9" t="s">
        <v>449</v>
      </c>
      <c r="B7" s="9"/>
      <c r="C7" s="165">
        <v>43101</v>
      </c>
    </row>
    <row r="8" spans="1:5" ht="22.5" customHeight="1" x14ac:dyDescent="0.25">
      <c r="A8" s="9" t="s">
        <v>450</v>
      </c>
      <c r="B8" s="9"/>
      <c r="C8" s="165">
        <v>43281</v>
      </c>
    </row>
    <row r="9" spans="1:5" ht="67.5" customHeight="1" x14ac:dyDescent="0.25">
      <c r="A9" s="9" t="s">
        <v>447</v>
      </c>
      <c r="B9" s="9"/>
      <c r="C9" s="7" t="str">
        <f>IF(LEN(ΠΕΡΙΦΕΡΕΙΑ!C15)&gt;2,LEFT(ΠΕΡΙΦΕΡΕΙΑ!C15,LEN(ΠΕΡΙΦΕΡΕΙΑ!C15)-2),"")</f>
        <v>ΑΝΑΤΟΛΙΚΗΣ ΜΑΚΕΔΟΝΙΑΣ ΚΑΙ ΘΡΑΚΗΣ, ΑΤΤΙΚΗΣ, ΔΥΤΙΚΗΣ ΕΛΛΑΔΑΣ, ΔΥΤΙΚΗΣ ΜΑΚΕΔΟΝΙΑΣ, ΗΠΕΙΡΟΥ, ΘΕΣΣΑΛΙΑΣ, ΚΕΝΤΡΙΚΗΣ ΜΑΚΕΔΟΝΙΑΣ, ΚΡΗΤΗΣ, ΠΕΛΟΠΟΝΝΗΣΟΥ, ΣΤΕΡΕΑΣ ΕΛΛΑΔΑΣ</v>
      </c>
    </row>
    <row r="10" spans="1:5" ht="67.5" customHeight="1" x14ac:dyDescent="0.25">
      <c r="A10" s="9" t="s">
        <v>448</v>
      </c>
      <c r="B10" s="9"/>
      <c r="C10" s="10" t="str">
        <f>IF(LEN(ΔΗΜΟΣ!N326)&gt;2,LEFT(ΔΗΜΟΣ!N326,LEN(ΔΗΜΟΣ!N326)-2),"")</f>
        <v>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v>
      </c>
    </row>
    <row r="11" spans="1:5" ht="67.5" customHeight="1" x14ac:dyDescent="0.25">
      <c r="A11" s="9" t="s">
        <v>421</v>
      </c>
      <c r="B11" s="9"/>
      <c r="C11" s="279"/>
    </row>
    <row r="13" spans="1:5" ht="15.75" thickBot="1" x14ac:dyDescent="0.3"/>
    <row r="14" spans="1:5" ht="31.5" customHeight="1" thickBot="1" x14ac:dyDescent="0.3">
      <c r="A14" s="32" t="s">
        <v>918</v>
      </c>
      <c r="B14" s="50"/>
      <c r="C14" s="51" t="str">
        <f>IF(OR(C5="",C4="",C6="",C7="",C8=""),"ΤΑ ΣΤΟΙΧΕΙΑ ΔΕΝ ΕΙΝΑΙ ΠΛΗΡΗ","ΤΑ ΣΤΟΙΧΕΙΑ ΕΙΝΑΙ ΠΛΗΡΗ")</f>
        <v>ΤΑ ΣΤΟΙΧΕΙΑ ΕΙΝΑΙ ΠΛΗΡΗ</v>
      </c>
      <c r="E14" s="168"/>
    </row>
    <row r="15" spans="1:5" ht="31.5" customHeight="1" thickBot="1" x14ac:dyDescent="0.3">
      <c r="A15" s="171"/>
      <c r="B15" s="52" t="s">
        <v>487</v>
      </c>
      <c r="C15" s="51" t="str">
        <f>CONCATENATE(IF($B$16="ΝΑΙ",COUNTIF('B01'!N:N,"ΣΦΑΛΜΑ"),0)+IF(B17="ΝΑΙ",COUNTIF('B02'!N:N,"ΣΦΑΛΜΑ"),0)+COUNTIF('B03'!M:M,"ΣΦΑΛΜΑ")+COUNTIF('B04'!P:P,"ΣΦΑΛΜΑ")+COUNTIF('B05'!S:S,"ΣΦΑΛΜΑ")+COUNTIF('B06'!O:O,"ΣΦΑΛΜΑ")++COUNTIF('B07'!S:S,"ΣΦΑΛΜΑ")+COUNTIF('B08'!R:R,"ΣΦΑΛΜΑ")," ΣΦΑΛΜΑΤΑ")</f>
        <v>0 ΣΦΑΛΜΑΤΑ</v>
      </c>
    </row>
    <row r="16" spans="1:5" ht="15.75" thickBot="1" x14ac:dyDescent="0.3">
      <c r="A16" s="32" t="s">
        <v>486</v>
      </c>
      <c r="B16" s="166" t="s">
        <v>419</v>
      </c>
      <c r="C16" s="51" t="str">
        <f>IF(OR(B16="ΟΧΙ",COUNTIF('B01'!N:N,"ΣΦΑΛΜΑ")=0),"ΤΑ ΣΤΟΙΧΕΙΑ ΕΙΝΑΙ ΟΡΘΑ","ΥΠΑΡΧΟΥΝ ΛΑΘΗ")</f>
        <v>ΤΑ ΣΤΟΙΧΕΙΑ ΕΙΝΑΙ ΟΡΘΑ</v>
      </c>
      <c r="D16" s="169"/>
    </row>
    <row r="17" spans="1:3" ht="15.75" thickBot="1" x14ac:dyDescent="0.3">
      <c r="A17" s="32" t="s">
        <v>488</v>
      </c>
      <c r="B17" s="166" t="s">
        <v>419</v>
      </c>
      <c r="C17" s="51" t="str">
        <f>IF(OR(B17="ΟΧΙ",COUNTIF('B02'!N:N,"ΣΦΑΛΜΑ")=0),"ΤΑ ΣΤΟΙΧΕΙΑ ΕΙΝΑΙ ΟΡΘΑ","ΥΠΑΡΧΟΥΝ ΛΑΘΗ")</f>
        <v>ΤΑ ΣΤΟΙΧΕΙΑ ΕΙΝΑΙ ΟΡΘΑ</v>
      </c>
    </row>
    <row r="18" spans="1:3" ht="15.75" thickBot="1" x14ac:dyDescent="0.3">
      <c r="A18" s="32" t="s">
        <v>489</v>
      </c>
      <c r="B18" s="166" t="s">
        <v>419</v>
      </c>
      <c r="C18" s="51" t="str">
        <f>IF(OR(B18="ΟΧΙ",COUNTIF('B03'!M:M,"ΣΦΑΛΜΑ")=0),"ΤΑ ΣΤΟΙΧΕΙΑ ΕΙΝΑΙ ΟΡΘΑ","ΥΠΑΡΧΟΥΝ ΛΑΘΗ")</f>
        <v>ΤΑ ΣΤΟΙΧΕΙΑ ΕΙΝΑΙ ΟΡΘΑ</v>
      </c>
    </row>
    <row r="19" spans="1:3" ht="15.75" thickBot="1" x14ac:dyDescent="0.3">
      <c r="A19" s="32" t="s">
        <v>490</v>
      </c>
      <c r="B19" s="166" t="s">
        <v>419</v>
      </c>
      <c r="C19" s="51" t="str">
        <f>IF(OR(B19="ΟΧΙ",COUNTIF('B04'!P:P,"ΣΦΑΛΜΑ")=0),"ΤΑ ΣΤΟΙΧΕΙΑ ΕΙΝΑΙ ΟΡΘΑ","ΥΠΑΡΧΟΥΝ ΛΑΘΗ")</f>
        <v>ΤΑ ΣΤΟΙΧΕΙΑ ΕΙΝΑΙ ΟΡΘΑ</v>
      </c>
    </row>
    <row r="20" spans="1:3" ht="15.75" thickBot="1" x14ac:dyDescent="0.3">
      <c r="A20" s="32" t="s">
        <v>491</v>
      </c>
      <c r="B20" s="166" t="s">
        <v>419</v>
      </c>
      <c r="C20" s="51" t="str">
        <f>IF(OR(B20="ΟΧΙ",COUNTIF('B05'!S:S,"ΣΦΑΛΜΑ")=0),"ΤΑ ΣΤΟΙΧΕΙΑ ΕΙΝΑΙ ΟΡΘΑ","ΥΠΑΡΧΟΥΝ ΛΑΘΗ")</f>
        <v>ΤΑ ΣΤΟΙΧΕΙΑ ΕΙΝΑΙ ΟΡΘΑ</v>
      </c>
    </row>
    <row r="21" spans="1:3" ht="15.75" thickBot="1" x14ac:dyDescent="0.3">
      <c r="A21" s="32" t="s">
        <v>492</v>
      </c>
      <c r="B21" s="166" t="s">
        <v>419</v>
      </c>
      <c r="C21" s="51" t="str">
        <f>IF(OR(B21="ΟΧΙ",COUNTIF('B06'!O:O,"ΣΦΑΛΜΑ")=0),"ΤΑ ΣΤΟΙΧΕΙΑ ΕΙΝΑΙ ΟΡΘΑ","ΥΠΑΡΧΟΥΝ ΛΑΘΗ")</f>
        <v>ΤΑ ΣΤΟΙΧΕΙΑ ΕΙΝΑΙ ΟΡΘΑ</v>
      </c>
    </row>
    <row r="22" spans="1:3" ht="15.75" thickBot="1" x14ac:dyDescent="0.3">
      <c r="A22" s="32" t="s">
        <v>493</v>
      </c>
      <c r="B22" s="166" t="s">
        <v>419</v>
      </c>
      <c r="C22" s="51" t="str">
        <f>IF(OR(B21="ΟΧΙ",COUNTIF('B07'!S:S,"ΣΦΑΛΜΑ")=0),"ΤΑ ΣΤΟΙΧΕΙΑ ΕΙΝΑΙ ΟΡΘΑ","ΥΠΑΡΧΟΥΝ ΛΑΘΗ")</f>
        <v>ΤΑ ΣΤΟΙΧΕΙΑ ΕΙΝΑΙ ΟΡΘΑ</v>
      </c>
    </row>
    <row r="23" spans="1:3" ht="15.75" thickBot="1" x14ac:dyDescent="0.3">
      <c r="A23" s="32" t="s">
        <v>494</v>
      </c>
      <c r="B23" s="166" t="s">
        <v>419</v>
      </c>
      <c r="C23" s="51" t="str">
        <f>IF(OR(B23="ΟΧΙ",COUNTIF('B08'!R:R,"ΣΦΑΛΜΑ")=0),"ΤΑ ΣΤΟΙΧΕΙΑ ΕΙΝΑΙ ΟΡΘΑ","ΥΠΑΡΧΟΥΝ ΛΑΘΗ")</f>
        <v>ΤΑ ΣΤΟΙΧΕΙΑ ΕΙΝΑΙ ΟΡΘΑ</v>
      </c>
    </row>
  </sheetData>
  <sheetProtection algorithmName="SHA-512" hashValue="yi7nXM0LAcw8Rw32XnppahXTuSTBwkv+IaaL8O7DAvNCL4KaeuD23alAaMdhILqqB7QL+STZvA2q/MTbZlNFGg==" saltValue="2wemTMf18Z+fbmOz8o3d4g==" spinCount="100000" sheet="1" objects="1" scenarios="1" selectLockedCells="1"/>
  <conditionalFormatting sqref="C14:C15">
    <cfRule type="cellIs" dxfId="39" priority="19" operator="equal">
      <formula>"ΤΑ ΣΤΟΙΧΕΙΑ ΕΙΝΑΙ ΠΛΗΡΗ"</formula>
    </cfRule>
    <cfRule type="cellIs" dxfId="38" priority="20" operator="equal">
      <formula>"ΤΑ ΣΤΟΙΧΕΙΑ ΔΕΝ ΕΙΝΑΙ ΠΛΗΡΗ"</formula>
    </cfRule>
  </conditionalFormatting>
  <conditionalFormatting sqref="C16">
    <cfRule type="cellIs" dxfId="37" priority="17" operator="equal">
      <formula>"ΤΑ ΣΤΟΙΧΕΙΑ ΕΙΝΑΙ ΟΡΘΑ"</formula>
    </cfRule>
    <cfRule type="cellIs" dxfId="36" priority="18" operator="equal">
      <formula>"ΥΠΑΡΧΟΥΝ ΛΑΘΗ"</formula>
    </cfRule>
  </conditionalFormatting>
  <conditionalFormatting sqref="C23">
    <cfRule type="cellIs" dxfId="35" priority="1" operator="equal">
      <formula>"ΤΑ ΣΤΟΙΧΕΙΑ ΕΙΝΑΙ ΟΡΘΑ"</formula>
    </cfRule>
    <cfRule type="cellIs" dxfId="34" priority="2" operator="equal">
      <formula>"ΥΠΑΡΧΟΥΝ ΛΑΘΗ"</formula>
    </cfRule>
  </conditionalFormatting>
  <conditionalFormatting sqref="C17">
    <cfRule type="cellIs" dxfId="33" priority="13" operator="equal">
      <formula>"ΤΑ ΣΤΟΙΧΕΙΑ ΕΙΝΑΙ ΟΡΘΑ"</formula>
    </cfRule>
    <cfRule type="cellIs" dxfId="32" priority="14" operator="equal">
      <formula>"ΥΠΑΡΧΟΥΝ ΛΑΘΗ"</formula>
    </cfRule>
  </conditionalFormatting>
  <conditionalFormatting sqref="C18">
    <cfRule type="cellIs" dxfId="31" priority="11" operator="equal">
      <formula>"ΤΑ ΣΤΟΙΧΕΙΑ ΕΙΝΑΙ ΟΡΘΑ"</formula>
    </cfRule>
    <cfRule type="cellIs" dxfId="30" priority="12" operator="equal">
      <formula>"ΥΠΑΡΧΟΥΝ ΛΑΘΗ"</formula>
    </cfRule>
  </conditionalFormatting>
  <conditionalFormatting sqref="C19">
    <cfRule type="cellIs" dxfId="29" priority="9" operator="equal">
      <formula>"ΤΑ ΣΤΟΙΧΕΙΑ ΕΙΝΑΙ ΟΡΘΑ"</formula>
    </cfRule>
    <cfRule type="cellIs" dxfId="28" priority="10" operator="equal">
      <formula>"ΥΠΑΡΧΟΥΝ ΛΑΘΗ"</formula>
    </cfRule>
  </conditionalFormatting>
  <conditionalFormatting sqref="C20">
    <cfRule type="cellIs" dxfId="27" priority="7" operator="equal">
      <formula>"ΤΑ ΣΤΟΙΧΕΙΑ ΕΙΝΑΙ ΟΡΘΑ"</formula>
    </cfRule>
    <cfRule type="cellIs" dxfId="26" priority="8" operator="equal">
      <formula>"ΥΠΑΡΧΟΥΝ ΛΑΘΗ"</formula>
    </cfRule>
  </conditionalFormatting>
  <conditionalFormatting sqref="C21">
    <cfRule type="cellIs" dxfId="25" priority="5" operator="equal">
      <formula>"ΤΑ ΣΤΟΙΧΕΙΑ ΕΙΝΑΙ ΟΡΘΑ"</formula>
    </cfRule>
    <cfRule type="cellIs" dxfId="24" priority="6" operator="equal">
      <formula>"ΥΠΑΡΧΟΥΝ ΛΑΘΗ"</formula>
    </cfRule>
  </conditionalFormatting>
  <conditionalFormatting sqref="C22">
    <cfRule type="cellIs" dxfId="23" priority="3" operator="equal">
      <formula>"ΤΑ ΣΤΟΙΧΕΙΑ ΕΙΝΑΙ ΟΡΘΑ"</formula>
    </cfRule>
    <cfRule type="cellIs" dxfId="22" priority="4" operator="equal">
      <formula>"ΥΠΑΡΧΟΥΝ ΛΑΘΗ"</formula>
    </cfRule>
  </conditionalFormatting>
  <dataValidations count="4">
    <dataValidation type="list" allowBlank="1" showInputMessage="1" showErrorMessage="1" sqref="C2">
      <formula1>Operators.</formula1>
    </dataValidation>
    <dataValidation type="list" allowBlank="1" showInputMessage="1" showErrorMessage="1" sqref="C5">
      <formula1>Semester</formula1>
    </dataValidation>
    <dataValidation type="whole" allowBlank="1" showInputMessage="1" showErrorMessage="1" sqref="C6">
      <formula1>1990</formula1>
      <formula2>2030</formula2>
    </dataValidation>
    <dataValidation type="list" allowBlank="1" showInputMessage="1" showErrorMessage="1" sqref="B16:B23">
      <formula1>submitQI</formula1>
    </dataValidation>
  </dataValidations>
  <pageMargins left="0.7" right="0.7" top="0.75" bottom="0.75" header="0.3" footer="0.3"/>
  <pageSetup paperSize="9" orientation="portrait" r:id="rId1"/>
  <headerFooter>
    <oddFooter>&amp;L&amp;1#&amp;"Calibri"&amp;7&amp;K000000C2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E15"/>
  <sheetViews>
    <sheetView showGridLines="0" showRowColHeaders="0" workbookViewId="0">
      <selection activeCell="B12" sqref="B12"/>
    </sheetView>
  </sheetViews>
  <sheetFormatPr defaultColWidth="9.140625" defaultRowHeight="15" x14ac:dyDescent="0.25"/>
  <cols>
    <col min="1" max="1" width="39.7109375" style="167" customWidth="1"/>
    <col min="2" max="2" width="20" style="167" customWidth="1"/>
    <col min="3" max="5" width="37.140625" style="167" hidden="1" customWidth="1"/>
    <col min="6" max="6" width="37.140625" style="167" customWidth="1"/>
    <col min="7" max="9" width="9.140625" style="167"/>
    <col min="10" max="14" width="37.140625" style="167" customWidth="1"/>
    <col min="15" max="16384" width="9.140625" style="167"/>
  </cols>
  <sheetData>
    <row r="1" spans="1:5" ht="15.75" thickBot="1" x14ac:dyDescent="0.3">
      <c r="A1" s="27" t="s">
        <v>32</v>
      </c>
      <c r="B1" s="28" t="s">
        <v>33</v>
      </c>
      <c r="C1" s="1" t="s">
        <v>36</v>
      </c>
      <c r="D1" s="1" t="s">
        <v>35</v>
      </c>
      <c r="E1" s="1" t="s">
        <v>37</v>
      </c>
    </row>
    <row r="2" spans="1:5" ht="16.5" thickTop="1" thickBot="1" x14ac:dyDescent="0.3">
      <c r="A2" s="29" t="s">
        <v>39</v>
      </c>
      <c r="B2" s="162" t="s">
        <v>36</v>
      </c>
      <c r="C2" t="str">
        <f t="shared" ref="C2:C14" si="0">IF(B2=$C$1,A2&amp;", ","")</f>
        <v xml:space="preserve">ΑΝΑΤΟΛΙΚΗΣ ΜΑΚΕΔΟΝΙΑΣ ΚΑΙ ΘΡΑΚΗΣ, </v>
      </c>
      <c r="D2" t="str">
        <f t="shared" ref="D2:D14" si="1">IF(B2=$D$1,A2&amp;", ","")</f>
        <v/>
      </c>
      <c r="E2" t="str">
        <f t="shared" ref="E2:E14" si="2">IF(B2=$E$1,A2&amp;", ","")</f>
        <v/>
      </c>
    </row>
    <row r="3" spans="1:5" ht="15.75" thickBot="1" x14ac:dyDescent="0.3">
      <c r="A3" s="30" t="s">
        <v>40</v>
      </c>
      <c r="B3" s="162" t="s">
        <v>36</v>
      </c>
      <c r="C3" t="str">
        <f t="shared" si="0"/>
        <v xml:space="preserve">ΑΤΤΙΚΗΣ, </v>
      </c>
      <c r="D3" t="str">
        <f t="shared" si="1"/>
        <v/>
      </c>
      <c r="E3" t="str">
        <f t="shared" si="2"/>
        <v/>
      </c>
    </row>
    <row r="4" spans="1:5" ht="15.75" thickBot="1" x14ac:dyDescent="0.3">
      <c r="A4" s="30" t="s">
        <v>404</v>
      </c>
      <c r="B4" s="162" t="s">
        <v>35</v>
      </c>
      <c r="C4" t="str">
        <f t="shared" si="0"/>
        <v/>
      </c>
      <c r="D4" t="str">
        <f t="shared" si="1"/>
        <v xml:space="preserve">ΒΟΡΕΙΟΥ ΑΙΓΑΙΟΥ, </v>
      </c>
      <c r="E4" t="str">
        <f t="shared" si="2"/>
        <v/>
      </c>
    </row>
    <row r="5" spans="1:5" ht="15.75" thickBot="1" x14ac:dyDescent="0.3">
      <c r="A5" s="30" t="s">
        <v>405</v>
      </c>
      <c r="B5" s="162" t="s">
        <v>36</v>
      </c>
      <c r="C5" t="str">
        <f t="shared" si="0"/>
        <v xml:space="preserve">ΔΥΤΙΚΗΣ ΕΛΛΑΔΑΣ, </v>
      </c>
      <c r="D5" t="str">
        <f t="shared" si="1"/>
        <v/>
      </c>
      <c r="E5" t="str">
        <f t="shared" si="2"/>
        <v/>
      </c>
    </row>
    <row r="6" spans="1:5" ht="15.75" thickBot="1" x14ac:dyDescent="0.3">
      <c r="A6" s="30" t="s">
        <v>406</v>
      </c>
      <c r="B6" s="162" t="s">
        <v>36</v>
      </c>
      <c r="C6" t="str">
        <f t="shared" si="0"/>
        <v xml:space="preserve">ΔΥΤΙΚΗΣ ΜΑΚΕΔΟΝΙΑΣ, </v>
      </c>
      <c r="D6" t="str">
        <f t="shared" si="1"/>
        <v/>
      </c>
      <c r="E6" t="str">
        <f t="shared" si="2"/>
        <v/>
      </c>
    </row>
    <row r="7" spans="1:5" ht="15.75" thickBot="1" x14ac:dyDescent="0.3">
      <c r="A7" s="30" t="s">
        <v>407</v>
      </c>
      <c r="B7" s="162" t="s">
        <v>36</v>
      </c>
      <c r="C7" t="str">
        <f t="shared" si="0"/>
        <v xml:space="preserve">ΗΠΕΙΡΟΥ, </v>
      </c>
      <c r="D7" t="str">
        <f t="shared" si="1"/>
        <v/>
      </c>
      <c r="E7" t="str">
        <f t="shared" si="2"/>
        <v/>
      </c>
    </row>
    <row r="8" spans="1:5" ht="15.75" thickBot="1" x14ac:dyDescent="0.3">
      <c r="A8" s="30" t="s">
        <v>408</v>
      </c>
      <c r="B8" s="162" t="s">
        <v>36</v>
      </c>
      <c r="C8" t="str">
        <f t="shared" si="0"/>
        <v xml:space="preserve">ΘΕΣΣΑΛΙΑΣ, </v>
      </c>
      <c r="D8" t="str">
        <f t="shared" si="1"/>
        <v/>
      </c>
      <c r="E8" t="str">
        <f t="shared" si="2"/>
        <v/>
      </c>
    </row>
    <row r="9" spans="1:5" ht="15.75" thickBot="1" x14ac:dyDescent="0.3">
      <c r="A9" s="30" t="s">
        <v>409</v>
      </c>
      <c r="B9" s="162" t="s">
        <v>35</v>
      </c>
      <c r="C9" t="str">
        <f t="shared" si="0"/>
        <v/>
      </c>
      <c r="D9" t="str">
        <f t="shared" si="1"/>
        <v xml:space="preserve">ΙΟΝΙΩΝ ΝΗΣΩΝ, </v>
      </c>
      <c r="E9" t="str">
        <f t="shared" si="2"/>
        <v/>
      </c>
    </row>
    <row r="10" spans="1:5" ht="15.75" thickBot="1" x14ac:dyDescent="0.3">
      <c r="A10" s="30" t="s">
        <v>410</v>
      </c>
      <c r="B10" s="162" t="s">
        <v>36</v>
      </c>
      <c r="C10" t="str">
        <f t="shared" si="0"/>
        <v xml:space="preserve">ΚΕΝΤΡΙΚΗΣ ΜΑΚΕΔΟΝΙΑΣ, </v>
      </c>
      <c r="D10" t="str">
        <f t="shared" si="1"/>
        <v/>
      </c>
      <c r="E10" t="str">
        <f t="shared" si="2"/>
        <v/>
      </c>
    </row>
    <row r="11" spans="1:5" ht="15.75" thickBot="1" x14ac:dyDescent="0.3">
      <c r="A11" s="30" t="s">
        <v>411</v>
      </c>
      <c r="B11" s="162" t="s">
        <v>36</v>
      </c>
      <c r="C11" t="str">
        <f t="shared" si="0"/>
        <v xml:space="preserve">ΚΡΗΤΗΣ, </v>
      </c>
      <c r="D11" t="str">
        <f t="shared" si="1"/>
        <v/>
      </c>
      <c r="E11" t="str">
        <f t="shared" si="2"/>
        <v/>
      </c>
    </row>
    <row r="12" spans="1:5" ht="15.75" thickBot="1" x14ac:dyDescent="0.3">
      <c r="A12" s="30" t="s">
        <v>412</v>
      </c>
      <c r="B12" s="162" t="s">
        <v>35</v>
      </c>
      <c r="C12" t="str">
        <f t="shared" si="0"/>
        <v/>
      </c>
      <c r="D12" t="str">
        <f t="shared" si="1"/>
        <v xml:space="preserve">ΝΟΤΙΟΥ ΑΙΓΑΙΟΥ, </v>
      </c>
      <c r="E12" t="str">
        <f t="shared" si="2"/>
        <v/>
      </c>
    </row>
    <row r="13" spans="1:5" ht="15.75" thickBot="1" x14ac:dyDescent="0.3">
      <c r="A13" s="30" t="s">
        <v>413</v>
      </c>
      <c r="B13" s="162" t="s">
        <v>36</v>
      </c>
      <c r="C13" t="str">
        <f t="shared" si="0"/>
        <v xml:space="preserve">ΠΕΛΟΠΟΝΝΗΣΟΥ, </v>
      </c>
      <c r="D13" t="str">
        <f t="shared" si="1"/>
        <v/>
      </c>
      <c r="E13" t="str">
        <f t="shared" si="2"/>
        <v/>
      </c>
    </row>
    <row r="14" spans="1:5" ht="15.75" thickBot="1" x14ac:dyDescent="0.3">
      <c r="A14" s="31" t="s">
        <v>414</v>
      </c>
      <c r="B14" s="162" t="s">
        <v>36</v>
      </c>
      <c r="C14" t="str">
        <f t="shared" si="0"/>
        <v xml:space="preserve">ΣΤΕΡΕΑΣ ΕΛΛΑΔΑΣ, </v>
      </c>
      <c r="D14" t="str">
        <f t="shared" si="1"/>
        <v/>
      </c>
      <c r="E14" t="str">
        <f t="shared" si="2"/>
        <v/>
      </c>
    </row>
    <row r="15" spans="1:5" x14ac:dyDescent="0.25">
      <c r="C15" s="167" t="str">
        <f>CONCATENATE(C2,C3,C4,C5,C6,C7,C8,C9,C10,C11,C12,C13,C14)</f>
        <v xml:space="preserve">ΑΝΑΤΟΛΙΚΗΣ ΜΑΚΕΔΟΝΙΑΣ ΚΑΙ ΘΡΑΚΗΣ, ΑΤΤΙΚΗΣ, ΔΥΤΙΚΗΣ ΕΛΛΑΔΑΣ, ΔΥΤΙΚΗΣ ΜΑΚΕΔΟΝΙΑΣ, ΗΠΕΙΡΟΥ, ΘΕΣΣΑΛΙΑΣ, ΚΕΝΤΡΙΚΗΣ ΜΑΚΕΔΟΝΙΑΣ, ΚΡΗΤΗΣ, ΠΕΛΟΠΟΝΝΗΣΟΥ, ΣΤΕΡΕΑΣ ΕΛΛΑΔΑΣ, </v>
      </c>
      <c r="D15" s="167" t="str">
        <f>CONCATENATE(D2,D3,D4,D5,D6,D7,D8,D9,D10,D11,D12,D13,D14)</f>
        <v xml:space="preserve">ΒΟΡΕΙΟΥ ΑΙΓΑΙΟΥ, ΙΟΝΙΩΝ ΝΗΣΩΝ, ΝΟΤΙΟΥ ΑΙΓΑΙΟΥ, </v>
      </c>
      <c r="E15" s="167" t="str">
        <f>CONCATENATE(E2,E3,E4,E5,E6,E7,E8,E9,E10,E11,E12,E13,E14)</f>
        <v/>
      </c>
    </row>
  </sheetData>
  <sheetProtection algorithmName="SHA-512" hashValue="s2dJggtK/+RTz64uJbw9OB9M8gAJcN7snt1BB9Y8g16anZ2PC/UDGCvBwYyWqBRMr+PMT5XB7Z24xPrD3z2cyg==" saltValue="/WodAAqQte0lUSVkjIC+xA==" spinCount="100000" sheet="1" objects="1" scenarios="1" selectLockedCells="1"/>
  <sortState ref="A2:A14">
    <sortCondition ref="A2"/>
  </sortState>
  <dataValidations count="1">
    <dataValidation type="list" allowBlank="1" showInputMessage="1" showErrorMessage="1" sqref="B2:B14">
      <formula1>Coverage.Type.</formula1>
    </dataValidation>
  </dataValidations>
  <pageMargins left="0.7" right="0.7" top="0.75" bottom="0.75" header="0.3" footer="0.3"/>
  <pageSetup paperSize="9" orientation="portrait" r:id="rId1"/>
  <headerFooter>
    <oddFooter>&amp;L&amp;1#&amp;"Calibri"&amp;7&amp;K000000C2 General</oddFooter>
  </headerFooter>
  <extLst>
    <ext xmlns:x14="http://schemas.microsoft.com/office/spreadsheetml/2009/9/main" uri="{78C0D931-6437-407d-A8EE-F0AAD7539E65}">
      <x14:conditionalFormattings>
        <x14:conditionalFormatting xmlns:xm="http://schemas.microsoft.com/office/excel/2006/main">
          <x14:cfRule type="cellIs" priority="1" operator="equal" id="{281CC3C0-E594-436C-A33E-03296D72D484}">
            <xm:f>Lists!$F$4</xm:f>
            <x14:dxf>
              <font>
                <color rgb="FF006100"/>
              </font>
              <fill>
                <patternFill>
                  <bgColor rgb="FFC6EFCE"/>
                </patternFill>
              </fill>
            </x14:dxf>
          </x14:cfRule>
          <x14:cfRule type="cellIs" priority="2" operator="equal" id="{09092A68-FC0B-4C50-9BC5-6348122B2B02}">
            <xm:f>Lists!$F$3</xm:f>
            <x14:dxf>
              <font>
                <color rgb="FF9C6500"/>
              </font>
              <fill>
                <patternFill>
                  <bgColor rgb="FFFFEB9C"/>
                </patternFill>
              </fill>
            </x14:dxf>
          </x14:cfRule>
          <x14:cfRule type="cellIs" priority="3" operator="equal" id="{9935E4AA-5B0E-49AD-A1D4-9F7A2E17FAC7}">
            <xm:f>Lists!$F$5</xm:f>
            <x14:dxf>
              <font>
                <color rgb="FF9C0006"/>
              </font>
              <fill>
                <patternFill>
                  <bgColor rgb="FFFFC7CE"/>
                </patternFill>
              </fill>
            </x14:dxf>
          </x14:cfRule>
          <xm:sqref>B1:B1048576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26"/>
  <sheetViews>
    <sheetView showGridLines="0" topLeftCell="J1" workbookViewId="0">
      <selection activeCell="L49" sqref="L49"/>
    </sheetView>
  </sheetViews>
  <sheetFormatPr defaultColWidth="0" defaultRowHeight="15" zeroHeight="1" x14ac:dyDescent="0.25"/>
  <cols>
    <col min="1" max="1" width="9.140625" style="80" hidden="1" customWidth="1"/>
    <col min="2" max="4" width="37.140625" style="80" hidden="1" customWidth="1"/>
    <col min="5" max="5" width="32.85546875" style="80" hidden="1" customWidth="1"/>
    <col min="6" max="6" width="6" style="80" hidden="1" customWidth="1"/>
    <col min="7" max="7" width="24" style="80" hidden="1" customWidth="1"/>
    <col min="8" max="8" width="26.7109375" style="80" hidden="1" customWidth="1"/>
    <col min="9" max="9" width="9.140625" style="80" hidden="1" customWidth="1"/>
    <col min="10" max="10" width="20.85546875" style="167" bestFit="1" customWidth="1"/>
    <col min="11" max="11" width="34.140625" style="167" customWidth="1"/>
    <col min="12" max="12" width="16.7109375" style="167" customWidth="1"/>
    <col min="13" max="13" width="36" style="80" hidden="1" customWidth="1"/>
    <col min="14" max="14" width="32.85546875" style="80" hidden="1" customWidth="1"/>
    <col min="15" max="16384" width="9.140625" style="167" hidden="1"/>
  </cols>
  <sheetData>
    <row r="1" spans="1:14" ht="15.75" thickBot="1" x14ac:dyDescent="0.3">
      <c r="A1" s="1" t="s">
        <v>417</v>
      </c>
      <c r="B1" s="1" t="s">
        <v>415</v>
      </c>
      <c r="C1" s="1" t="s">
        <v>38</v>
      </c>
      <c r="D1" s="1" t="s">
        <v>416</v>
      </c>
      <c r="E1" s="1"/>
      <c r="F1" s="1"/>
      <c r="G1"/>
      <c r="H1"/>
      <c r="I1"/>
      <c r="J1" s="36" t="s">
        <v>415</v>
      </c>
      <c r="K1" s="37" t="s">
        <v>416</v>
      </c>
      <c r="L1" s="28" t="s">
        <v>33</v>
      </c>
      <c r="M1"/>
      <c r="N1"/>
    </row>
    <row r="2" spans="1:14" ht="15.75" thickTop="1" x14ac:dyDescent="0.25">
      <c r="A2">
        <v>1</v>
      </c>
      <c r="B2" t="s">
        <v>39</v>
      </c>
      <c r="C2" t="s">
        <v>57</v>
      </c>
      <c r="D2" t="s">
        <v>55</v>
      </c>
      <c r="E2" s="197" t="s">
        <v>576</v>
      </c>
      <c r="F2" s="197">
        <v>13920</v>
      </c>
      <c r="G2" t="str">
        <f>LOOKUP(B2,ΠΕΡΙΦΕΡΕΙΑ!$A$2:$A$14,ΠΕΡΙΦΕΡΕΙΑ!$B$2:$B$14)</f>
        <v>Ολική</v>
      </c>
      <c r="H2" t="str">
        <f>IF(G2="Μερική",A2,"")</f>
        <v/>
      </c>
      <c r="I2">
        <f>SMALL(H:H,A2)</f>
        <v>89</v>
      </c>
      <c r="J2" t="str">
        <f>IF(ISNUMBER(I2),LOOKUP(I2,A:A,B:B),"")</f>
        <v>ΒΟΡΕΙΟΥ ΑΙΓΑΙΟΥ</v>
      </c>
      <c r="K2" t="str">
        <f>IF(ISNUMBER(I2),LOOKUP(I2,A:A,D:D),"")</f>
        <v>ΑΓΙΟΥ ΕΥΣΤΡΑΤΙΟΥ</v>
      </c>
      <c r="L2" s="163" t="s">
        <v>420</v>
      </c>
      <c r="M2" t="str">
        <f t="shared" ref="M2:M65" si="0">IF(K2&lt;&gt;"",IF(L2="ΝΑΙ",J2&amp;" - "&amp;K2&amp;", ",""),"")</f>
        <v/>
      </c>
      <c r="N2" t="str">
        <f>M2</f>
        <v/>
      </c>
    </row>
    <row r="3" spans="1:14" x14ac:dyDescent="0.25">
      <c r="A3">
        <v>2</v>
      </c>
      <c r="B3" t="s">
        <v>39</v>
      </c>
      <c r="C3" t="s">
        <v>365</v>
      </c>
      <c r="D3" t="s">
        <v>46</v>
      </c>
      <c r="E3" s="197" t="s">
        <v>577</v>
      </c>
      <c r="F3" s="197">
        <v>13906</v>
      </c>
      <c r="G3" t="str">
        <f>LOOKUP(B3,ΠΕΡΙΦΕΡΕΙΑ!$A$2:$A$14,ΠΕΡΙΦΕΡΕΙΑ!$B$2:$B$14)</f>
        <v>Ολική</v>
      </c>
      <c r="H3" t="str">
        <f t="shared" ref="H3:H66" si="1">IF(G3="Μερική",A3,"")</f>
        <v/>
      </c>
      <c r="I3">
        <f t="shared" ref="I3:I66" si="2">SMALL(H:H,A3)</f>
        <v>90</v>
      </c>
      <c r="J3" t="str">
        <f t="shared" ref="J3:J66" si="3">IF(ISNUMBER(I3),LOOKUP(I3,A:A,B:B),"")</f>
        <v>ΒΟΡΕΙΟΥ ΑΙΓΑΙΟΥ</v>
      </c>
      <c r="K3" t="str">
        <f t="shared" ref="K3:K66" si="4">IF(ISNUMBER(I3),LOOKUP(I3,A:A,D:D),"")</f>
        <v>ΙΚΑΡΙΑΣ</v>
      </c>
      <c r="L3" s="163" t="s">
        <v>420</v>
      </c>
      <c r="M3" t="str">
        <f t="shared" si="0"/>
        <v/>
      </c>
      <c r="N3" t="str">
        <f>N2&amp;M3</f>
        <v/>
      </c>
    </row>
    <row r="4" spans="1:14" x14ac:dyDescent="0.25">
      <c r="A4">
        <v>3</v>
      </c>
      <c r="B4" t="s">
        <v>39</v>
      </c>
      <c r="C4" t="s">
        <v>366</v>
      </c>
      <c r="D4" t="s">
        <v>59</v>
      </c>
      <c r="E4" s="197" t="s">
        <v>578</v>
      </c>
      <c r="F4" s="197">
        <v>13910</v>
      </c>
      <c r="G4" t="str">
        <f>LOOKUP(B4,ΠΕΡΙΦΕΡΕΙΑ!$A$2:$A$14,ΠΕΡΙΦΕΡΕΙΑ!$B$2:$B$14)</f>
        <v>Ολική</v>
      </c>
      <c r="H4" t="str">
        <f t="shared" si="1"/>
        <v/>
      </c>
      <c r="I4">
        <f t="shared" si="2"/>
        <v>91</v>
      </c>
      <c r="J4" t="str">
        <f t="shared" si="3"/>
        <v>ΒΟΡΕΙΟΥ ΑΙΓΑΙΟΥ</v>
      </c>
      <c r="K4" t="str">
        <f t="shared" si="4"/>
        <v>ΛΕΣΒΟΥ</v>
      </c>
      <c r="L4" s="163" t="s">
        <v>419</v>
      </c>
      <c r="M4" t="str">
        <f t="shared" si="0"/>
        <v xml:space="preserve">ΒΟΡΕΙΟΥ ΑΙΓΑΙΟΥ - ΛΕΣΒΟΥ, </v>
      </c>
      <c r="N4" t="str">
        <f t="shared" ref="N4:N67" si="5">N3&amp;M4</f>
        <v xml:space="preserve">ΒΟΡΕΙΟΥ ΑΙΓΑΙΟΥ - ΛΕΣΒΟΥ, </v>
      </c>
    </row>
    <row r="5" spans="1:14" x14ac:dyDescent="0.25">
      <c r="A5">
        <v>4</v>
      </c>
      <c r="B5" t="s">
        <v>39</v>
      </c>
      <c r="C5" t="s">
        <v>365</v>
      </c>
      <c r="D5" t="s">
        <v>47</v>
      </c>
      <c r="E5" s="197" t="s">
        <v>579</v>
      </c>
      <c r="F5" s="197">
        <v>14058</v>
      </c>
      <c r="G5" t="str">
        <f>LOOKUP(B5,ΠΕΡΙΦΕΡΕΙΑ!$A$2:$A$14,ΠΕΡΙΦΕΡΕΙΑ!$B$2:$B$14)</f>
        <v>Ολική</v>
      </c>
      <c r="H5" t="str">
        <f t="shared" si="1"/>
        <v/>
      </c>
      <c r="I5">
        <f t="shared" si="2"/>
        <v>92</v>
      </c>
      <c r="J5" t="str">
        <f t="shared" si="3"/>
        <v>ΒΟΡΕΙΟΥ ΑΙΓΑΙΟΥ</v>
      </c>
      <c r="K5" t="str">
        <f t="shared" si="4"/>
        <v>ΛΗΜΝΟΥ</v>
      </c>
      <c r="L5" s="163" t="s">
        <v>420</v>
      </c>
      <c r="M5" t="str">
        <f t="shared" si="0"/>
        <v/>
      </c>
      <c r="N5" t="str">
        <f t="shared" si="5"/>
        <v xml:space="preserve">ΒΟΡΕΙΟΥ ΑΙΓΑΙΟΥ - ΛΕΣΒΟΥ, </v>
      </c>
    </row>
    <row r="6" spans="1:14" x14ac:dyDescent="0.25">
      <c r="A6">
        <v>5</v>
      </c>
      <c r="B6" t="s">
        <v>39</v>
      </c>
      <c r="C6" t="s">
        <v>42</v>
      </c>
      <c r="D6" t="s">
        <v>41</v>
      </c>
      <c r="E6" s="197" t="s">
        <v>580</v>
      </c>
      <c r="F6" s="197">
        <v>14068</v>
      </c>
      <c r="G6" t="str">
        <f>LOOKUP(B6,ΠΕΡΙΦΕΡΕΙΑ!$A$2:$A$14,ΠΕΡΙΦΕΡΕΙΑ!$B$2:$B$14)</f>
        <v>Ολική</v>
      </c>
      <c r="H6" t="str">
        <f t="shared" si="1"/>
        <v/>
      </c>
      <c r="I6">
        <f t="shared" si="2"/>
        <v>93</v>
      </c>
      <c r="J6" t="str">
        <f t="shared" si="3"/>
        <v>ΒΟΡΕΙΟΥ ΑΙΓΑΙΟΥ</v>
      </c>
      <c r="K6" t="str">
        <f t="shared" si="4"/>
        <v>ΟΙΝΟΥΣΣΩΝ</v>
      </c>
      <c r="L6" s="163" t="s">
        <v>420</v>
      </c>
      <c r="M6" t="str">
        <f t="shared" si="0"/>
        <v/>
      </c>
      <c r="N6" t="str">
        <f t="shared" si="5"/>
        <v xml:space="preserve">ΒΟΡΕΙΟΥ ΑΙΓΑΙΟΥ - ΛΕΣΒΟΥ, </v>
      </c>
    </row>
    <row r="7" spans="1:14" x14ac:dyDescent="0.25">
      <c r="A7">
        <v>6</v>
      </c>
      <c r="B7" t="s">
        <v>39</v>
      </c>
      <c r="C7" t="s">
        <v>42</v>
      </c>
      <c r="D7" t="s">
        <v>42</v>
      </c>
      <c r="E7" s="197" t="s">
        <v>581</v>
      </c>
      <c r="F7" s="197">
        <v>14070</v>
      </c>
      <c r="G7" t="str">
        <f>LOOKUP(B7,ΠΕΡΙΦΕΡΕΙΑ!$A$2:$A$14,ΠΕΡΙΦΕΡΕΙΑ!$B$2:$B$14)</f>
        <v>Ολική</v>
      </c>
      <c r="H7" t="str">
        <f t="shared" si="1"/>
        <v/>
      </c>
      <c r="I7">
        <f t="shared" si="2"/>
        <v>94</v>
      </c>
      <c r="J7" t="str">
        <f t="shared" si="3"/>
        <v>ΒΟΡΕΙΟΥ ΑΙΓΑΙΟΥ</v>
      </c>
      <c r="K7" t="str">
        <f t="shared" si="4"/>
        <v>ΣΑΜΟΥ</v>
      </c>
      <c r="L7" s="163" t="s">
        <v>419</v>
      </c>
      <c r="M7" t="str">
        <f t="shared" si="0"/>
        <v xml:space="preserve">ΒΟΡΕΙΟΥ ΑΙΓΑΙΟΥ - ΣΑΜΟΥ, </v>
      </c>
      <c r="N7" t="str">
        <f t="shared" si="5"/>
        <v xml:space="preserve">ΒΟΡΕΙΟΥ ΑΙΓΑΙΟΥ - ΛΕΣΒΟΥ, ΒΟΡΕΙΟΥ ΑΙΓΑΙΟΥ - ΣΑΜΟΥ, </v>
      </c>
    </row>
    <row r="8" spans="1:14" x14ac:dyDescent="0.25">
      <c r="A8">
        <v>7</v>
      </c>
      <c r="B8" t="s">
        <v>39</v>
      </c>
      <c r="C8" t="s">
        <v>51</v>
      </c>
      <c r="D8" t="s">
        <v>51</v>
      </c>
      <c r="E8" s="197" t="s">
        <v>582</v>
      </c>
      <c r="F8" s="197">
        <v>14124</v>
      </c>
      <c r="G8" t="str">
        <f>LOOKUP(B8,ΠΕΡΙΦΕΡΕΙΑ!$A$2:$A$14,ΠΕΡΙΦΕΡΕΙΑ!$B$2:$B$14)</f>
        <v>Ολική</v>
      </c>
      <c r="H8" t="str">
        <f t="shared" si="1"/>
        <v/>
      </c>
      <c r="I8">
        <f t="shared" si="2"/>
        <v>95</v>
      </c>
      <c r="J8" t="str">
        <f t="shared" si="3"/>
        <v>ΒΟΡΕΙΟΥ ΑΙΓΑΙΟΥ</v>
      </c>
      <c r="K8" t="str">
        <f t="shared" si="4"/>
        <v>ΦΟΥΡΝΩΝ ΚΟΡΣΕΩΝ</v>
      </c>
      <c r="L8" s="163" t="s">
        <v>420</v>
      </c>
      <c r="M8" t="str">
        <f t="shared" si="0"/>
        <v/>
      </c>
      <c r="N8" t="str">
        <f t="shared" si="5"/>
        <v xml:space="preserve">ΒΟΡΕΙΟΥ ΑΙΓΑΙΟΥ - ΛΕΣΒΟΥ, ΒΟΡΕΙΟΥ ΑΙΓΑΙΟΥ - ΣΑΜΟΥ, </v>
      </c>
    </row>
    <row r="9" spans="1:14" x14ac:dyDescent="0.25">
      <c r="A9">
        <v>8</v>
      </c>
      <c r="B9" t="s">
        <v>39</v>
      </c>
      <c r="C9" t="s">
        <v>366</v>
      </c>
      <c r="D9" t="s">
        <v>60</v>
      </c>
      <c r="E9" s="197" t="s">
        <v>583</v>
      </c>
      <c r="F9" s="197">
        <v>14140</v>
      </c>
      <c r="G9" t="str">
        <f>LOOKUP(B9,ΠΕΡΙΦΕΡΕΙΑ!$A$2:$A$14,ΠΕΡΙΦΕΡΕΙΑ!$B$2:$B$14)</f>
        <v>Ολική</v>
      </c>
      <c r="H9" t="str">
        <f t="shared" si="1"/>
        <v/>
      </c>
      <c r="I9">
        <f t="shared" si="2"/>
        <v>96</v>
      </c>
      <c r="J9" t="str">
        <f t="shared" si="3"/>
        <v>ΒΟΡΕΙΟΥ ΑΙΓΑΙΟΥ</v>
      </c>
      <c r="K9" t="str">
        <f t="shared" si="4"/>
        <v>ΧΙΟΥ</v>
      </c>
      <c r="L9" s="163" t="s">
        <v>419</v>
      </c>
      <c r="M9" t="str">
        <f t="shared" si="0"/>
        <v xml:space="preserve">ΒΟΡΕΙΟΥ ΑΙΓΑΙΟΥ - ΧΙΟΥ, </v>
      </c>
      <c r="N9" t="str">
        <f t="shared" si="5"/>
        <v xml:space="preserve">ΒΟΡΕΙΟΥ ΑΙΓΑΙΟΥ - ΛΕΣΒΟΥ, ΒΟΡΕΙΟΥ ΑΙΓΑΙΟΥ - ΣΑΜΟΥ, ΒΟΡΕΙΟΥ ΑΙΓΑΙΟΥ - ΧΙΟΥ, </v>
      </c>
    </row>
    <row r="10" spans="1:14" x14ac:dyDescent="0.25">
      <c r="A10">
        <v>9</v>
      </c>
      <c r="B10" t="s">
        <v>39</v>
      </c>
      <c r="C10" t="s">
        <v>52</v>
      </c>
      <c r="D10" t="s">
        <v>52</v>
      </c>
      <c r="E10" s="197" t="s">
        <v>584</v>
      </c>
      <c r="F10" s="197">
        <v>14156</v>
      </c>
      <c r="G10" t="str">
        <f>LOOKUP(B10,ΠΕΡΙΦΕΡΕΙΑ!$A$2:$A$14,ΠΕΡΙΦΕΡΕΙΑ!$B$2:$B$14)</f>
        <v>Ολική</v>
      </c>
      <c r="H10" t="str">
        <f t="shared" si="1"/>
        <v/>
      </c>
      <c r="I10">
        <f t="shared" si="2"/>
        <v>97</v>
      </c>
      <c r="J10" t="str">
        <f t="shared" si="3"/>
        <v>ΒΟΡΕΙΟΥ ΑΙΓΑΙΟΥ</v>
      </c>
      <c r="K10" t="str">
        <f t="shared" si="4"/>
        <v>ΨΑΡΩΝ</v>
      </c>
      <c r="L10" s="163" t="s">
        <v>420</v>
      </c>
      <c r="M10" t="str">
        <f t="shared" si="0"/>
        <v/>
      </c>
      <c r="N10" t="str">
        <f t="shared" si="5"/>
        <v xml:space="preserve">ΒΟΡΕΙΟΥ ΑΙΓΑΙΟΥ - ΛΕΣΒΟΥ, ΒΟΡΕΙΟΥ ΑΙΓΑΙΟΥ - ΣΑΜΟΥ, ΒΟΡΕΙΟΥ ΑΙΓΑΙΟΥ - ΧΙΟΥ, </v>
      </c>
    </row>
    <row r="11" spans="1:14" x14ac:dyDescent="0.25">
      <c r="A11">
        <v>10</v>
      </c>
      <c r="B11" t="s">
        <v>39</v>
      </c>
      <c r="C11" t="s">
        <v>42</v>
      </c>
      <c r="D11" t="s">
        <v>43</v>
      </c>
      <c r="E11" s="197" t="s">
        <v>585</v>
      </c>
      <c r="F11" s="197">
        <v>14202</v>
      </c>
      <c r="G11" t="str">
        <f>LOOKUP(B11,ΠΕΡΙΦΕΡΕΙΑ!$A$2:$A$14,ΠΕΡΙΦΕΡΕΙΑ!$B$2:$B$14)</f>
        <v>Ολική</v>
      </c>
      <c r="H11" t="str">
        <f t="shared" si="1"/>
        <v/>
      </c>
      <c r="I11">
        <f t="shared" si="2"/>
        <v>172</v>
      </c>
      <c r="J11" t="str">
        <f t="shared" si="3"/>
        <v>ΙΟΝΙΩΝ ΝΗΣΩΝ</v>
      </c>
      <c r="K11" t="str">
        <f t="shared" si="4"/>
        <v>ΖΑΚΥΝΘΟΥ</v>
      </c>
      <c r="L11" s="163" t="s">
        <v>419</v>
      </c>
      <c r="M11" t="str">
        <f t="shared" si="0"/>
        <v xml:space="preserve">ΙΟΝΙΩΝ ΝΗΣΩΝ - ΖΑΚΥΝΘΟΥ, </v>
      </c>
      <c r="N11" t="str">
        <f t="shared" si="5"/>
        <v xml:space="preserve">ΒΟΡΕΙΟΥ ΑΙΓΑΙΟΥ - ΛΕΣΒΟΥ, ΒΟΡΕΙΟΥ ΑΙΓΑΙΟΥ - ΣΑΜΟΥ, ΒΟΡΕΙΟΥ ΑΙΓΑΙΟΥ - ΧΙΟΥ, ΙΟΝΙΩΝ ΝΗΣΩΝ - ΖΑΚΥΝΘΟΥ, </v>
      </c>
    </row>
    <row r="12" spans="1:14" x14ac:dyDescent="0.25">
      <c r="A12">
        <v>11</v>
      </c>
      <c r="B12" t="s">
        <v>39</v>
      </c>
      <c r="C12" t="s">
        <v>366</v>
      </c>
      <c r="D12" t="s">
        <v>61</v>
      </c>
      <c r="E12" s="197" t="s">
        <v>586</v>
      </c>
      <c r="F12" s="197">
        <v>14220</v>
      </c>
      <c r="G12" t="str">
        <f>LOOKUP(B12,ΠΕΡΙΦΕΡΕΙΑ!$A$2:$A$14,ΠΕΡΙΦΕΡΕΙΑ!$B$2:$B$14)</f>
        <v>Ολική</v>
      </c>
      <c r="H12" t="str">
        <f t="shared" si="1"/>
        <v/>
      </c>
      <c r="I12">
        <f t="shared" si="2"/>
        <v>173</v>
      </c>
      <c r="J12" t="str">
        <f t="shared" si="3"/>
        <v>ΙΟΝΙΩΝ ΝΗΣΩΝ</v>
      </c>
      <c r="K12" t="str">
        <f t="shared" si="4"/>
        <v>ΙΘΑΚΗΣ</v>
      </c>
      <c r="L12" s="163" t="s">
        <v>420</v>
      </c>
      <c r="M12" t="str">
        <f t="shared" si="0"/>
        <v/>
      </c>
      <c r="N12" t="str">
        <f t="shared" si="5"/>
        <v xml:space="preserve">ΒΟΡΕΙΟΥ ΑΙΓΑΙΟΥ - ΛΕΣΒΟΥ, ΒΟΡΕΙΟΥ ΑΙΓΑΙΟΥ - ΣΑΜΟΥ, ΒΟΡΕΙΟΥ ΑΙΓΑΙΟΥ - ΧΙΟΥ, ΙΟΝΙΩΝ ΝΗΣΩΝ - ΖΑΚΥΝΘΟΥ, </v>
      </c>
    </row>
    <row r="13" spans="1:14" x14ac:dyDescent="0.25">
      <c r="A13">
        <v>12</v>
      </c>
      <c r="B13" t="s">
        <v>39</v>
      </c>
      <c r="C13" t="s">
        <v>366</v>
      </c>
      <c r="D13" t="s">
        <v>62</v>
      </c>
      <c r="E13" s="197" t="s">
        <v>587</v>
      </c>
      <c r="F13" s="197">
        <v>14280</v>
      </c>
      <c r="G13" t="str">
        <f>LOOKUP(B13,ΠΕΡΙΦΕΡΕΙΑ!$A$2:$A$14,ΠΕΡΙΦΕΡΕΙΑ!$B$2:$B$14)</f>
        <v>Ολική</v>
      </c>
      <c r="H13" t="str">
        <f t="shared" si="1"/>
        <v/>
      </c>
      <c r="I13">
        <f t="shared" si="2"/>
        <v>174</v>
      </c>
      <c r="J13" t="str">
        <f t="shared" si="3"/>
        <v>ΙΟΝΙΩΝ ΝΗΣΩΝ</v>
      </c>
      <c r="K13" t="str">
        <f t="shared" si="4"/>
        <v>ΚΕΡΚΥΡΑΣ</v>
      </c>
      <c r="L13" s="163" t="s">
        <v>419</v>
      </c>
      <c r="M13" t="str">
        <f t="shared" si="0"/>
        <v xml:space="preserve">ΙΟΝΙΩΝ ΝΗΣΩΝ - ΚΕΡΚΥΡΑΣ, </v>
      </c>
      <c r="N13" t="str">
        <f t="shared" si="5"/>
        <v xml:space="preserve">ΒΟΡΕΙΟΥ ΑΙΓΑΙΟΥ - ΛΕΣΒΟΥ, ΒΟΡΕΙΟΥ ΑΙΓΑΙΟΥ - ΣΑΜΟΥ, ΒΟΡΕΙΟΥ ΑΙΓΑΙΟΥ - ΧΙΟΥ, ΙΟΝΙΩΝ ΝΗΣΩΝ - ΖΑΚΥΝΘΟΥ, ΙΟΝΙΩΝ ΝΗΣΩΝ - ΚΕΡΚΥΡΑΣ, </v>
      </c>
    </row>
    <row r="14" spans="1:14" x14ac:dyDescent="0.25">
      <c r="A14">
        <v>13</v>
      </c>
      <c r="B14" t="s">
        <v>39</v>
      </c>
      <c r="C14" t="s">
        <v>57</v>
      </c>
      <c r="D14" t="s">
        <v>56</v>
      </c>
      <c r="E14" s="197" t="s">
        <v>588</v>
      </c>
      <c r="F14" s="197">
        <v>14304</v>
      </c>
      <c r="G14" t="str">
        <f>LOOKUP(B14,ΠΕΡΙΦΕΡΕΙΑ!$A$2:$A$14,ΠΕΡΙΦΕΡΕΙΑ!$B$2:$B$14)</f>
        <v>Ολική</v>
      </c>
      <c r="H14" t="str">
        <f t="shared" si="1"/>
        <v/>
      </c>
      <c r="I14">
        <f t="shared" si="2"/>
        <v>175</v>
      </c>
      <c r="J14" t="str">
        <f t="shared" si="3"/>
        <v>ΙΟΝΙΩΝ ΝΗΣΩΝ</v>
      </c>
      <c r="K14" t="str">
        <f t="shared" si="4"/>
        <v>ΚΕΦΑΛΟΝΙΑΣ</v>
      </c>
      <c r="L14" s="163" t="s">
        <v>419</v>
      </c>
      <c r="M14" t="str">
        <f t="shared" si="0"/>
        <v xml:space="preserve">ΙΟΝΙΩΝ ΝΗΣΩΝ - ΚΕΦΑΛΟΝΙΑΣ, </v>
      </c>
      <c r="N14"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v>
      </c>
    </row>
    <row r="15" spans="1:14" x14ac:dyDescent="0.25">
      <c r="A15">
        <v>14</v>
      </c>
      <c r="B15" t="s">
        <v>39</v>
      </c>
      <c r="C15" t="s">
        <v>52</v>
      </c>
      <c r="D15" t="s">
        <v>53</v>
      </c>
      <c r="E15" s="197" t="s">
        <v>589</v>
      </c>
      <c r="F15" s="197">
        <v>14336</v>
      </c>
      <c r="G15" t="str">
        <f>LOOKUP(B15,ΠΕΡΙΦΕΡΕΙΑ!$A$2:$A$14,ΠΕΡΙΦΕΡΕΙΑ!$B$2:$B$14)</f>
        <v>Ολική</v>
      </c>
      <c r="H15" t="str">
        <f t="shared" si="1"/>
        <v/>
      </c>
      <c r="I15">
        <f t="shared" si="2"/>
        <v>176</v>
      </c>
      <c r="J15" t="str">
        <f t="shared" si="3"/>
        <v>ΙΟΝΙΩΝ ΝΗΣΩΝ</v>
      </c>
      <c r="K15" t="str">
        <f t="shared" si="4"/>
        <v>ΛΕΥΚΑΔΑΣ</v>
      </c>
      <c r="L15" s="163" t="s">
        <v>419</v>
      </c>
      <c r="M15" t="str">
        <f t="shared" si="0"/>
        <v xml:space="preserve">ΙΟΝΙΩΝ ΝΗΣΩΝ - ΛΕΥΚΑΔΑΣ, </v>
      </c>
      <c r="N15"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v>
      </c>
    </row>
    <row r="16" spans="1:14" x14ac:dyDescent="0.25">
      <c r="A16">
        <v>15</v>
      </c>
      <c r="B16" t="s">
        <v>39</v>
      </c>
      <c r="C16" t="s">
        <v>57</v>
      </c>
      <c r="D16" t="s">
        <v>57</v>
      </c>
      <c r="E16" s="197" t="s">
        <v>590</v>
      </c>
      <c r="F16" s="197">
        <v>14330</v>
      </c>
      <c r="G16" t="str">
        <f>LOOKUP(B16,ΠΕΡΙΦΕΡΕΙΑ!$A$2:$A$14,ΠΕΡΙΦΕΡΕΙΑ!$B$2:$B$14)</f>
        <v>Ολική</v>
      </c>
      <c r="H16" t="str">
        <f t="shared" si="1"/>
        <v/>
      </c>
      <c r="I16">
        <f t="shared" si="2"/>
        <v>177</v>
      </c>
      <c r="J16" t="str">
        <f t="shared" si="3"/>
        <v>ΙΟΝΙΩΝ ΝΗΣΩΝ</v>
      </c>
      <c r="K16" t="str">
        <f t="shared" si="4"/>
        <v>ΜΕΓΑΝΗΣΙΟΥ</v>
      </c>
      <c r="L16" s="163" t="s">
        <v>420</v>
      </c>
      <c r="M16" t="str">
        <f t="shared" si="0"/>
        <v/>
      </c>
      <c r="N16"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v>
      </c>
    </row>
    <row r="17" spans="1:14" x14ac:dyDescent="0.25">
      <c r="A17">
        <v>16</v>
      </c>
      <c r="B17" t="s">
        <v>39</v>
      </c>
      <c r="C17" t="s">
        <v>365</v>
      </c>
      <c r="D17" t="s">
        <v>48</v>
      </c>
      <c r="E17" s="197" t="s">
        <v>591</v>
      </c>
      <c r="F17" s="197">
        <v>14352</v>
      </c>
      <c r="G17" t="str">
        <f>LOOKUP(B17,ΠΕΡΙΦΕΡΕΙΑ!$A$2:$A$14,ΠΕΡΙΦΕΡΕΙΑ!$B$2:$B$14)</f>
        <v>Ολική</v>
      </c>
      <c r="H17" t="str">
        <f t="shared" si="1"/>
        <v/>
      </c>
      <c r="I17">
        <f t="shared" si="2"/>
        <v>178</v>
      </c>
      <c r="J17" t="str">
        <f t="shared" si="3"/>
        <v>ΙΟΝΙΩΝ ΝΗΣΩΝ</v>
      </c>
      <c r="K17" t="str">
        <f t="shared" si="4"/>
        <v>ΠΑΞΩΝ</v>
      </c>
      <c r="L17" s="163" t="s">
        <v>420</v>
      </c>
      <c r="M17" t="str">
        <f t="shared" si="0"/>
        <v/>
      </c>
      <c r="N17"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v>
      </c>
    </row>
    <row r="18" spans="1:14" x14ac:dyDescent="0.25">
      <c r="A18">
        <v>17</v>
      </c>
      <c r="B18" t="s">
        <v>39</v>
      </c>
      <c r="C18" t="s">
        <v>52</v>
      </c>
      <c r="D18" t="s">
        <v>54</v>
      </c>
      <c r="E18" s="197" t="s">
        <v>592</v>
      </c>
      <c r="F18" s="197">
        <v>14360</v>
      </c>
      <c r="G18" t="str">
        <f>LOOKUP(B18,ΠΕΡΙΦΕΡΕΙΑ!$A$2:$A$14,ΠΕΡΙΦΕΡΕΙΑ!$B$2:$B$14)</f>
        <v>Ολική</v>
      </c>
      <c r="H18" t="str">
        <f t="shared" si="1"/>
        <v/>
      </c>
      <c r="I18">
        <f t="shared" si="2"/>
        <v>241</v>
      </c>
      <c r="J18" t="str">
        <f t="shared" si="3"/>
        <v>ΝΟΤΙΟΥ ΑΙΓΑΙΟΥ</v>
      </c>
      <c r="K18" t="str">
        <f t="shared" si="4"/>
        <v>ΑΓΑΘΟΝΗΣΙΟΥ</v>
      </c>
      <c r="L18" s="163" t="s">
        <v>420</v>
      </c>
      <c r="M18" t="str">
        <f t="shared" si="0"/>
        <v/>
      </c>
      <c r="N18"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v>
      </c>
    </row>
    <row r="19" spans="1:14" x14ac:dyDescent="0.25">
      <c r="A19">
        <v>18</v>
      </c>
      <c r="B19" t="s">
        <v>39</v>
      </c>
      <c r="C19" t="s">
        <v>42</v>
      </c>
      <c r="D19" t="s">
        <v>44</v>
      </c>
      <c r="E19" s="197" t="s">
        <v>593</v>
      </c>
      <c r="F19" s="197">
        <v>14396</v>
      </c>
      <c r="G19" t="str">
        <f>LOOKUP(B19,ΠΕΡΙΦΕΡΕΙΑ!$A$2:$A$14,ΠΕΡΙΦΕΡΕΙΑ!$B$2:$B$14)</f>
        <v>Ολική</v>
      </c>
      <c r="H19" t="str">
        <f t="shared" si="1"/>
        <v/>
      </c>
      <c r="I19">
        <f t="shared" si="2"/>
        <v>242</v>
      </c>
      <c r="J19" t="str">
        <f t="shared" si="3"/>
        <v>ΝΟΤΙΟΥ ΑΙΓΑΙΟΥ</v>
      </c>
      <c r="K19" t="str">
        <f t="shared" si="4"/>
        <v>ΑΜΟΡΓΟΥ</v>
      </c>
      <c r="L19" s="163" t="s">
        <v>420</v>
      </c>
      <c r="M19" t="str">
        <f t="shared" si="0"/>
        <v/>
      </c>
      <c r="N19"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v>
      </c>
    </row>
    <row r="20" spans="1:14" x14ac:dyDescent="0.25">
      <c r="A20">
        <v>19</v>
      </c>
      <c r="B20" t="s">
        <v>39</v>
      </c>
      <c r="C20" t="s">
        <v>42</v>
      </c>
      <c r="D20" t="s">
        <v>45</v>
      </c>
      <c r="E20" s="197" t="s">
        <v>594</v>
      </c>
      <c r="F20" s="197">
        <v>14420</v>
      </c>
      <c r="G20" t="str">
        <f>LOOKUP(B20,ΠΕΡΙΦΕΡΕΙΑ!$A$2:$A$14,ΠΕΡΙΦΕΡΕΙΑ!$B$2:$B$14)</f>
        <v>Ολική</v>
      </c>
      <c r="H20" t="str">
        <f t="shared" si="1"/>
        <v/>
      </c>
      <c r="I20">
        <f t="shared" si="2"/>
        <v>243</v>
      </c>
      <c r="J20" t="str">
        <f t="shared" si="3"/>
        <v>ΝΟΤΙΟΥ ΑΙΓΑΙΟΥ</v>
      </c>
      <c r="K20" t="str">
        <f t="shared" si="4"/>
        <v>ΑΝΑΦΗΣ</v>
      </c>
      <c r="L20" s="163" t="s">
        <v>420</v>
      </c>
      <c r="M20" t="str">
        <f t="shared" si="0"/>
        <v/>
      </c>
      <c r="N20"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v>
      </c>
    </row>
    <row r="21" spans="1:14" x14ac:dyDescent="0.25">
      <c r="A21">
        <v>20</v>
      </c>
      <c r="B21" t="s">
        <v>39</v>
      </c>
      <c r="C21" t="s">
        <v>365</v>
      </c>
      <c r="D21" t="s">
        <v>49</v>
      </c>
      <c r="E21" s="197" t="s">
        <v>595</v>
      </c>
      <c r="F21" s="197">
        <v>14432</v>
      </c>
      <c r="G21" t="str">
        <f>LOOKUP(B21,ΠΕΡΙΦΕΡΕΙΑ!$A$2:$A$14,ΠΕΡΙΦΕΡΕΙΑ!$B$2:$B$14)</f>
        <v>Ολική</v>
      </c>
      <c r="H21" t="str">
        <f t="shared" si="1"/>
        <v/>
      </c>
      <c r="I21">
        <f t="shared" si="2"/>
        <v>244</v>
      </c>
      <c r="J21" t="str">
        <f t="shared" si="3"/>
        <v>ΝΟΤΙΟΥ ΑΙΓΑΙΟΥ</v>
      </c>
      <c r="K21" t="str">
        <f t="shared" si="4"/>
        <v>ΑΝΔΡΟΥ</v>
      </c>
      <c r="L21" s="163" t="s">
        <v>419</v>
      </c>
      <c r="M21" t="str">
        <f t="shared" si="0"/>
        <v xml:space="preserve">ΝΟΤΙΟΥ ΑΙΓΑΙΟΥ - ΑΝΔΡΟΥ, </v>
      </c>
      <c r="N21"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v>
      </c>
    </row>
    <row r="22" spans="1:14" x14ac:dyDescent="0.25">
      <c r="A22">
        <v>21</v>
      </c>
      <c r="B22" t="s">
        <v>39</v>
      </c>
      <c r="C22" t="s">
        <v>365</v>
      </c>
      <c r="D22" t="s">
        <v>50</v>
      </c>
      <c r="E22" s="197" t="s">
        <v>596</v>
      </c>
      <c r="F22" s="197">
        <v>14470</v>
      </c>
      <c r="G22" t="str">
        <f>LOOKUP(B22,ΠΕΡΙΦΕΡΕΙΑ!$A$2:$A$14,ΠΕΡΙΦΕΡΕΙΑ!$B$2:$B$14)</f>
        <v>Ολική</v>
      </c>
      <c r="H22" t="str">
        <f t="shared" si="1"/>
        <v/>
      </c>
      <c r="I22">
        <f t="shared" si="2"/>
        <v>245</v>
      </c>
      <c r="J22" t="str">
        <f t="shared" si="3"/>
        <v>ΝΟΤΙΟΥ ΑΙΓΑΙΟΥ</v>
      </c>
      <c r="K22" t="str">
        <f t="shared" si="4"/>
        <v>ΑΝΤΙΠΑΡΟΥ</v>
      </c>
      <c r="L22" s="163" t="s">
        <v>420</v>
      </c>
      <c r="M22" t="str">
        <f t="shared" si="0"/>
        <v/>
      </c>
      <c r="N22"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v>
      </c>
    </row>
    <row r="23" spans="1:14" x14ac:dyDescent="0.25">
      <c r="A23">
        <v>22</v>
      </c>
      <c r="B23" t="s">
        <v>39</v>
      </c>
      <c r="C23" t="s">
        <v>57</v>
      </c>
      <c r="D23" t="s">
        <v>58</v>
      </c>
      <c r="E23" s="197" t="s">
        <v>597</v>
      </c>
      <c r="F23" s="197">
        <v>14492</v>
      </c>
      <c r="G23" t="str">
        <f>LOOKUP(B23,ΠΕΡΙΦΕΡΕΙΑ!$A$2:$A$14,ΠΕΡΙΦΕΡΕΙΑ!$B$2:$B$14)</f>
        <v>Ολική</v>
      </c>
      <c r="H23" t="str">
        <f t="shared" si="1"/>
        <v/>
      </c>
      <c r="I23">
        <f t="shared" si="2"/>
        <v>246</v>
      </c>
      <c r="J23" t="str">
        <f t="shared" si="3"/>
        <v>ΝΟΤΙΟΥ ΑΙΓΑΙΟΥ</v>
      </c>
      <c r="K23" t="str">
        <f t="shared" si="4"/>
        <v>ΑΣΤΥΠΑΛΑΙΑΣ</v>
      </c>
      <c r="L23" s="163" t="s">
        <v>420</v>
      </c>
      <c r="M23" t="str">
        <f t="shared" si="0"/>
        <v/>
      </c>
      <c r="N23"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v>
      </c>
    </row>
    <row r="24" spans="1:14" x14ac:dyDescent="0.25">
      <c r="A24">
        <v>23</v>
      </c>
      <c r="B24" t="s">
        <v>40</v>
      </c>
      <c r="C24" t="s">
        <v>370</v>
      </c>
      <c r="D24" t="s">
        <v>93</v>
      </c>
      <c r="E24" s="197" t="s">
        <v>598</v>
      </c>
      <c r="F24" s="197">
        <v>13922</v>
      </c>
      <c r="G24" t="str">
        <f>LOOKUP(B24,ΠΕΡΙΦΕΡΕΙΑ!$A$2:$A$14,ΠΕΡΙΦΕΡΕΙΑ!$B$2:$B$14)</f>
        <v>Ολική</v>
      </c>
      <c r="H24" t="str">
        <f t="shared" si="1"/>
        <v/>
      </c>
      <c r="I24">
        <f t="shared" si="2"/>
        <v>247</v>
      </c>
      <c r="J24" t="str">
        <f t="shared" si="3"/>
        <v>ΝΟΤΙΟΥ ΑΙΓΑΙΟΥ</v>
      </c>
      <c r="K24" t="str">
        <f t="shared" si="4"/>
        <v>ΘΗΡΑΣ</v>
      </c>
      <c r="L24" s="163" t="s">
        <v>419</v>
      </c>
      <c r="M24" t="str">
        <f t="shared" si="0"/>
        <v xml:space="preserve">ΝΟΤΙΟΥ ΑΙΓΑΙΟΥ - ΘΗΡΑΣ, </v>
      </c>
      <c r="N24"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v>
      </c>
    </row>
    <row r="25" spans="1:14" x14ac:dyDescent="0.25">
      <c r="A25">
        <v>24</v>
      </c>
      <c r="B25" t="s">
        <v>40</v>
      </c>
      <c r="C25" t="s">
        <v>368</v>
      </c>
      <c r="D25" t="s">
        <v>76</v>
      </c>
      <c r="E25" s="197" t="s">
        <v>599</v>
      </c>
      <c r="F25" s="197">
        <v>13924</v>
      </c>
      <c r="G25" t="str">
        <f>LOOKUP(B25,ΠΕΡΙΦΕΡΕΙΑ!$A$2:$A$14,ΠΕΡΙΦΕΡΕΙΑ!$B$2:$B$14)</f>
        <v>Ολική</v>
      </c>
      <c r="H25" t="str">
        <f t="shared" si="1"/>
        <v/>
      </c>
      <c r="I25">
        <f t="shared" si="2"/>
        <v>248</v>
      </c>
      <c r="J25" t="str">
        <f t="shared" si="3"/>
        <v>ΝΟΤΙΟΥ ΑΙΓΑΙΟΥ</v>
      </c>
      <c r="K25" t="str">
        <f t="shared" si="4"/>
        <v>ΙΗΤΩΝ</v>
      </c>
      <c r="L25" s="163" t="s">
        <v>420</v>
      </c>
      <c r="M25" t="str">
        <f t="shared" si="0"/>
        <v/>
      </c>
      <c r="N25"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v>
      </c>
    </row>
    <row r="26" spans="1:14" x14ac:dyDescent="0.25">
      <c r="A26">
        <v>25</v>
      </c>
      <c r="B26" t="s">
        <v>40</v>
      </c>
      <c r="C26" t="s">
        <v>373</v>
      </c>
      <c r="D26" t="s">
        <v>116</v>
      </c>
      <c r="E26" s="197" t="s">
        <v>600</v>
      </c>
      <c r="F26" s="197">
        <v>13926</v>
      </c>
      <c r="G26" t="str">
        <f>LOOKUP(B26,ΠΕΡΙΦΕΡΕΙΑ!$A$2:$A$14,ΠΕΡΙΦΕΡΕΙΑ!$B$2:$B$14)</f>
        <v>Ολική</v>
      </c>
      <c r="H26" t="str">
        <f t="shared" si="1"/>
        <v/>
      </c>
      <c r="I26">
        <f t="shared" si="2"/>
        <v>249</v>
      </c>
      <c r="J26" t="str">
        <f t="shared" si="3"/>
        <v>ΝΟΤΙΟΥ ΑΙΓΑΙΟΥ</v>
      </c>
      <c r="K26" t="str">
        <f t="shared" si="4"/>
        <v>ΚΑΛΥΜΝΙΩΝ</v>
      </c>
      <c r="L26" s="163" t="s">
        <v>420</v>
      </c>
      <c r="M26" t="str">
        <f t="shared" si="0"/>
        <v/>
      </c>
      <c r="N26"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v>
      </c>
    </row>
    <row r="27" spans="1:14" x14ac:dyDescent="0.25">
      <c r="A27">
        <v>26</v>
      </c>
      <c r="B27" t="s">
        <v>40</v>
      </c>
      <c r="C27" t="s">
        <v>370</v>
      </c>
      <c r="D27" t="s">
        <v>94</v>
      </c>
      <c r="E27" s="197" t="s">
        <v>601</v>
      </c>
      <c r="F27" s="197">
        <v>13932</v>
      </c>
      <c r="G27" t="str">
        <f>LOOKUP(B27,ΠΕΡΙΦΕΡΕΙΑ!$A$2:$A$14,ΠΕΡΙΦΕΡΕΙΑ!$B$2:$B$14)</f>
        <v>Ολική</v>
      </c>
      <c r="H27" t="str">
        <f t="shared" si="1"/>
        <v/>
      </c>
      <c r="I27">
        <f t="shared" si="2"/>
        <v>250</v>
      </c>
      <c r="J27" t="str">
        <f t="shared" si="3"/>
        <v>ΝΟΤΙΟΥ ΑΙΓΑΙΟΥ</v>
      </c>
      <c r="K27" t="str">
        <f t="shared" si="4"/>
        <v>ΚΑΡΠΑΘΟΥ</v>
      </c>
      <c r="L27" s="163" t="s">
        <v>420</v>
      </c>
      <c r="M27" t="str">
        <f t="shared" si="0"/>
        <v/>
      </c>
      <c r="N27"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v>
      </c>
    </row>
    <row r="28" spans="1:14" x14ac:dyDescent="0.25">
      <c r="A28">
        <v>27</v>
      </c>
      <c r="B28" t="s">
        <v>40</v>
      </c>
      <c r="C28" t="s">
        <v>372</v>
      </c>
      <c r="D28" t="s">
        <v>108</v>
      </c>
      <c r="E28" s="197" t="s">
        <v>602</v>
      </c>
      <c r="F28" s="197">
        <v>13934</v>
      </c>
      <c r="G28" t="str">
        <f>LOOKUP(B28,ΠΕΡΙΦΕΡΕΙΑ!$A$2:$A$14,ΠΕΡΙΦΕΡΕΙΑ!$B$2:$B$14)</f>
        <v>Ολική</v>
      </c>
      <c r="H28" t="str">
        <f t="shared" si="1"/>
        <v/>
      </c>
      <c r="I28">
        <f t="shared" si="2"/>
        <v>251</v>
      </c>
      <c r="J28" t="str">
        <f t="shared" si="3"/>
        <v>ΝΟΤΙΟΥ ΑΙΓΑΙΟΥ</v>
      </c>
      <c r="K28" t="str">
        <f t="shared" si="4"/>
        <v>ΚΑΣΟΥ</v>
      </c>
      <c r="L28" s="163" t="s">
        <v>420</v>
      </c>
      <c r="M28" t="str">
        <f t="shared" si="0"/>
        <v/>
      </c>
      <c r="N28"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v>
      </c>
    </row>
    <row r="29" spans="1:14" x14ac:dyDescent="0.25">
      <c r="A29">
        <v>28</v>
      </c>
      <c r="B29" t="s">
        <v>40</v>
      </c>
      <c r="C29" t="s">
        <v>371</v>
      </c>
      <c r="D29" t="s">
        <v>100</v>
      </c>
      <c r="E29" s="197" t="s">
        <v>603</v>
      </c>
      <c r="F29" s="197">
        <v>13944</v>
      </c>
      <c r="G29" t="str">
        <f>LOOKUP(B29,ΠΕΡΙΦΕΡΕΙΑ!$A$2:$A$14,ΠΕΡΙΦΕΡΕΙΑ!$B$2:$B$14)</f>
        <v>Ολική</v>
      </c>
      <c r="H29" t="str">
        <f t="shared" si="1"/>
        <v/>
      </c>
      <c r="I29">
        <f t="shared" si="2"/>
        <v>252</v>
      </c>
      <c r="J29" t="str">
        <f t="shared" si="3"/>
        <v>ΝΟΤΙΟΥ ΑΙΓΑΙΟΥ</v>
      </c>
      <c r="K29" t="str">
        <f t="shared" si="4"/>
        <v>ΚΕΑΣ</v>
      </c>
      <c r="L29" s="163" t="s">
        <v>420</v>
      </c>
      <c r="M29" t="str">
        <f t="shared" si="0"/>
        <v/>
      </c>
      <c r="N29"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v>
      </c>
    </row>
    <row r="30" spans="1:14" x14ac:dyDescent="0.25">
      <c r="A30">
        <v>29</v>
      </c>
      <c r="B30" t="s">
        <v>40</v>
      </c>
      <c r="C30" t="s">
        <v>370</v>
      </c>
      <c r="D30" t="s">
        <v>95</v>
      </c>
      <c r="E30" s="197" t="s">
        <v>604</v>
      </c>
      <c r="F30" s="197">
        <v>13946</v>
      </c>
      <c r="G30" t="str">
        <f>LOOKUP(B30,ΠΕΡΙΦΕΡΕΙΑ!$A$2:$A$14,ΠΕΡΙΦΕΡΕΙΑ!$B$2:$B$14)</f>
        <v>Ολική</v>
      </c>
      <c r="H30" t="str">
        <f t="shared" si="1"/>
        <v/>
      </c>
      <c r="I30">
        <f t="shared" si="2"/>
        <v>253</v>
      </c>
      <c r="J30" t="str">
        <f t="shared" si="3"/>
        <v>ΝΟΤΙΟΥ ΑΙΓΑΙΟΥ</v>
      </c>
      <c r="K30" t="str">
        <f t="shared" si="4"/>
        <v>ΚΙΜΩΛΟΥ</v>
      </c>
      <c r="L30" s="163" t="s">
        <v>420</v>
      </c>
      <c r="M30" t="str">
        <f t="shared" si="0"/>
        <v/>
      </c>
      <c r="N30"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v>
      </c>
    </row>
    <row r="31" spans="1:14" x14ac:dyDescent="0.25">
      <c r="A31">
        <v>30</v>
      </c>
      <c r="B31" t="s">
        <v>40</v>
      </c>
      <c r="C31" t="s">
        <v>372</v>
      </c>
      <c r="D31" t="s">
        <v>109</v>
      </c>
      <c r="E31" s="197" t="s">
        <v>605</v>
      </c>
      <c r="F31" s="197">
        <v>13948</v>
      </c>
      <c r="G31" t="str">
        <f>LOOKUP(B31,ΠΕΡΙΦΕΡΕΙΑ!$A$2:$A$14,ΠΕΡΙΦΕΡΕΙΑ!$B$2:$B$14)</f>
        <v>Ολική</v>
      </c>
      <c r="H31" t="str">
        <f t="shared" si="1"/>
        <v/>
      </c>
      <c r="I31">
        <f t="shared" si="2"/>
        <v>254</v>
      </c>
      <c r="J31" t="str">
        <f t="shared" si="3"/>
        <v>ΝΟΤΙΟΥ ΑΙΓΑΙΟΥ</v>
      </c>
      <c r="K31" t="str">
        <f t="shared" si="4"/>
        <v>ΚΥΘΝΟΥ</v>
      </c>
      <c r="L31" s="163" t="s">
        <v>420</v>
      </c>
      <c r="M31" t="str">
        <f t="shared" si="0"/>
        <v/>
      </c>
      <c r="N31"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v>
      </c>
    </row>
    <row r="32" spans="1:14" x14ac:dyDescent="0.25">
      <c r="A32">
        <v>31</v>
      </c>
      <c r="B32" t="s">
        <v>40</v>
      </c>
      <c r="C32" t="s">
        <v>373</v>
      </c>
      <c r="D32" t="s">
        <v>117</v>
      </c>
      <c r="E32" s="197" t="s">
        <v>606</v>
      </c>
      <c r="F32" s="197">
        <v>13956</v>
      </c>
      <c r="G32" t="str">
        <f>LOOKUP(B32,ΠΕΡΙΦΕΡΕΙΑ!$A$2:$A$14,ΠΕΡΙΦΕΡΕΙΑ!$B$2:$B$14)</f>
        <v>Ολική</v>
      </c>
      <c r="H32" t="str">
        <f t="shared" si="1"/>
        <v/>
      </c>
      <c r="I32">
        <f t="shared" si="2"/>
        <v>255</v>
      </c>
      <c r="J32" t="str">
        <f t="shared" si="3"/>
        <v>ΝΟΤΙΟΥ ΑΙΓΑΙΟΥ</v>
      </c>
      <c r="K32" t="str">
        <f t="shared" si="4"/>
        <v>ΚΩ</v>
      </c>
      <c r="L32" s="163" t="s">
        <v>419</v>
      </c>
      <c r="M32" t="str">
        <f t="shared" si="0"/>
        <v xml:space="preserve">ΝΟΤΙΟΥ ΑΙΓΑΙΟΥ - ΚΩ, </v>
      </c>
      <c r="N32"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v>
      </c>
    </row>
    <row r="33" spans="1:14" x14ac:dyDescent="0.25">
      <c r="A33">
        <v>32</v>
      </c>
      <c r="B33" t="s">
        <v>40</v>
      </c>
      <c r="C33" t="s">
        <v>368</v>
      </c>
      <c r="D33" t="s">
        <v>77</v>
      </c>
      <c r="E33" s="197" t="s">
        <v>607</v>
      </c>
      <c r="F33" s="197">
        <v>13964</v>
      </c>
      <c r="G33" t="str">
        <f>LOOKUP(B33,ΠΕΡΙΦΕΡΕΙΑ!$A$2:$A$14,ΠΕΡΙΦΕΡΕΙΑ!$B$2:$B$14)</f>
        <v>Ολική</v>
      </c>
      <c r="H33" t="str">
        <f t="shared" si="1"/>
        <v/>
      </c>
      <c r="I33">
        <f t="shared" si="2"/>
        <v>256</v>
      </c>
      <c r="J33" t="str">
        <f t="shared" si="3"/>
        <v>ΝΟΤΙΟΥ ΑΙΓΑΙΟΥ</v>
      </c>
      <c r="K33" t="str">
        <f t="shared" si="4"/>
        <v>ΛΕΙΨΩΝ</v>
      </c>
      <c r="L33" s="163" t="s">
        <v>420</v>
      </c>
      <c r="M33" t="str">
        <f t="shared" si="0"/>
        <v/>
      </c>
      <c r="N33"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v>
      </c>
    </row>
    <row r="34" spans="1:14" x14ac:dyDescent="0.25">
      <c r="A34">
        <v>33</v>
      </c>
      <c r="B34" t="s">
        <v>40</v>
      </c>
      <c r="C34" t="s">
        <v>369</v>
      </c>
      <c r="D34" t="s">
        <v>88</v>
      </c>
      <c r="E34" s="197" t="s">
        <v>608</v>
      </c>
      <c r="F34" s="197">
        <v>14004</v>
      </c>
      <c r="G34" t="str">
        <f>LOOKUP(B34,ΠΕΡΙΦΕΡΕΙΑ!$A$2:$A$14,ΠΕΡΙΦΕΡΕΙΑ!$B$2:$B$14)</f>
        <v>Ολική</v>
      </c>
      <c r="H34" t="str">
        <f t="shared" si="1"/>
        <v/>
      </c>
      <c r="I34">
        <f t="shared" si="2"/>
        <v>257</v>
      </c>
      <c r="J34" t="str">
        <f t="shared" si="3"/>
        <v>ΝΟΤΙΟΥ ΑΙΓΑΙΟΥ</v>
      </c>
      <c r="K34" t="str">
        <f t="shared" si="4"/>
        <v>ΛΕΡΟΥ</v>
      </c>
      <c r="L34" s="163" t="s">
        <v>420</v>
      </c>
      <c r="M34" t="str">
        <f t="shared" si="0"/>
        <v/>
      </c>
      <c r="N34"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v>
      </c>
    </row>
    <row r="35" spans="1:14" x14ac:dyDescent="0.25">
      <c r="A35">
        <v>34</v>
      </c>
      <c r="B35" t="s">
        <v>40</v>
      </c>
      <c r="C35" t="s">
        <v>367</v>
      </c>
      <c r="D35" t="s">
        <v>63</v>
      </c>
      <c r="E35" s="197" t="s">
        <v>609</v>
      </c>
      <c r="F35" s="197">
        <v>14008</v>
      </c>
      <c r="G35" t="str">
        <f>LOOKUP(B35,ΠΕΡΙΦΕΡΕΙΑ!$A$2:$A$14,ΠΕΡΙΦΕΡΕΙΑ!$B$2:$B$14)</f>
        <v>Ολική</v>
      </c>
      <c r="H35" t="str">
        <f t="shared" si="1"/>
        <v/>
      </c>
      <c r="I35">
        <f t="shared" si="2"/>
        <v>258</v>
      </c>
      <c r="J35" t="str">
        <f t="shared" si="3"/>
        <v>ΝΟΤΙΟΥ ΑΙΓΑΙΟΥ</v>
      </c>
      <c r="K35" t="str">
        <f t="shared" si="4"/>
        <v>ΜΕΓΙΣΤΗΣ</v>
      </c>
      <c r="L35" s="163" t="s">
        <v>420</v>
      </c>
      <c r="M35" t="str">
        <f t="shared" si="0"/>
        <v/>
      </c>
      <c r="N35"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v>
      </c>
    </row>
    <row r="36" spans="1:14" x14ac:dyDescent="0.25">
      <c r="A36">
        <v>35</v>
      </c>
      <c r="B36" t="s">
        <v>40</v>
      </c>
      <c r="C36" t="s">
        <v>367</v>
      </c>
      <c r="D36" t="s">
        <v>64</v>
      </c>
      <c r="E36" s="197" t="s">
        <v>610</v>
      </c>
      <c r="F36" s="197">
        <v>14010</v>
      </c>
      <c r="G36" t="str">
        <f>LOOKUP(B36,ΠΕΡΙΦΕΡΕΙΑ!$A$2:$A$14,ΠΕΡΙΦΕΡΕΙΑ!$B$2:$B$14)</f>
        <v>Ολική</v>
      </c>
      <c r="H36" t="str">
        <f t="shared" si="1"/>
        <v/>
      </c>
      <c r="I36">
        <f t="shared" si="2"/>
        <v>259</v>
      </c>
      <c r="J36" t="str">
        <f t="shared" si="3"/>
        <v>ΝΟΤΙΟΥ ΑΙΓΑΙΟΥ</v>
      </c>
      <c r="K36" t="str">
        <f t="shared" si="4"/>
        <v>ΜΗΛΟΥ</v>
      </c>
      <c r="L36" s="163" t="s">
        <v>419</v>
      </c>
      <c r="M36" t="str">
        <f t="shared" si="0"/>
        <v xml:space="preserve">ΝΟΤΙΟΥ ΑΙΓΑΙΟΥ - ΜΗΛΟΥ, </v>
      </c>
      <c r="N36"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v>
      </c>
    </row>
    <row r="37" spans="1:14" x14ac:dyDescent="0.25">
      <c r="A37">
        <v>36</v>
      </c>
      <c r="B37" t="s">
        <v>40</v>
      </c>
      <c r="C37" t="s">
        <v>368</v>
      </c>
      <c r="D37" t="s">
        <v>78</v>
      </c>
      <c r="E37" s="197" t="s">
        <v>611</v>
      </c>
      <c r="F37" s="197">
        <v>14024</v>
      </c>
      <c r="G37" t="str">
        <f>LOOKUP(B37,ΠΕΡΙΦΕΡΕΙΑ!$A$2:$A$14,ΠΕΡΙΦΕΡΕΙΑ!$B$2:$B$14)</f>
        <v>Ολική</v>
      </c>
      <c r="H37" t="str">
        <f t="shared" si="1"/>
        <v/>
      </c>
      <c r="I37">
        <f t="shared" si="2"/>
        <v>260</v>
      </c>
      <c r="J37" t="str">
        <f t="shared" si="3"/>
        <v>ΝΟΤΙΟΥ ΑΙΓΑΙΟΥ</v>
      </c>
      <c r="K37" t="str">
        <f t="shared" si="4"/>
        <v>ΜΥΚΟΝΟΥ</v>
      </c>
      <c r="L37" s="163" t="s">
        <v>419</v>
      </c>
      <c r="M37" t="str">
        <f t="shared" si="0"/>
        <v xml:space="preserve">ΝΟΤΙΟΥ ΑΙΓΑΙΟΥ - ΜΥΚΟΝΟΥ, </v>
      </c>
      <c r="N37"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v>
      </c>
    </row>
    <row r="38" spans="1:14" x14ac:dyDescent="0.25">
      <c r="A38">
        <v>37</v>
      </c>
      <c r="B38" t="s">
        <v>40</v>
      </c>
      <c r="C38" t="s">
        <v>371</v>
      </c>
      <c r="D38" t="s">
        <v>101</v>
      </c>
      <c r="E38" s="197" t="s">
        <v>612</v>
      </c>
      <c r="F38" s="197">
        <v>14032</v>
      </c>
      <c r="G38" t="str">
        <f>LOOKUP(B38,ΠΕΡΙΦΕΡΕΙΑ!$A$2:$A$14,ΠΕΡΙΦΕΡΕΙΑ!$B$2:$B$14)</f>
        <v>Ολική</v>
      </c>
      <c r="H38" t="str">
        <f t="shared" si="1"/>
        <v/>
      </c>
      <c r="I38">
        <f t="shared" si="2"/>
        <v>261</v>
      </c>
      <c r="J38" t="str">
        <f t="shared" si="3"/>
        <v>ΝΟΤΙΟΥ ΑΙΓΑΙΟΥ</v>
      </c>
      <c r="K38" t="str">
        <f t="shared" si="4"/>
        <v>ΝΑΞΟΥ ΚΑΙ ΜΙΚΡΩΝ ΚΥΚΛΑΔΩΝ</v>
      </c>
      <c r="L38" s="163" t="s">
        <v>419</v>
      </c>
      <c r="M38" t="str">
        <f t="shared" si="0"/>
        <v xml:space="preserve">ΝΟΤΙΟΥ ΑΙΓΑΙΟΥ - ΝΑΞΟΥ ΚΑΙ ΜΙΚΡΩΝ ΚΥΚΛΑΔΩΝ, </v>
      </c>
      <c r="N38"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v>
      </c>
    </row>
    <row r="39" spans="1:14" x14ac:dyDescent="0.25">
      <c r="A39">
        <v>38</v>
      </c>
      <c r="B39" t="s">
        <v>40</v>
      </c>
      <c r="C39" t="s">
        <v>371</v>
      </c>
      <c r="D39" t="s">
        <v>102</v>
      </c>
      <c r="E39" s="197" t="s">
        <v>613</v>
      </c>
      <c r="F39" s="197">
        <v>14036</v>
      </c>
      <c r="G39" t="str">
        <f>LOOKUP(B39,ΠΕΡΙΦΕΡΕΙΑ!$A$2:$A$14,ΠΕΡΙΦΕΡΕΙΑ!$B$2:$B$14)</f>
        <v>Ολική</v>
      </c>
      <c r="H39" t="str">
        <f t="shared" si="1"/>
        <v/>
      </c>
      <c r="I39">
        <f t="shared" si="2"/>
        <v>262</v>
      </c>
      <c r="J39" t="str">
        <f t="shared" si="3"/>
        <v>ΝΟΤΙΟΥ ΑΙΓΑΙΟΥ</v>
      </c>
      <c r="K39" t="str">
        <f t="shared" si="4"/>
        <v>ΝΙΣΥΡΟΥ</v>
      </c>
      <c r="L39" s="163" t="s">
        <v>420</v>
      </c>
      <c r="M39" t="str">
        <f t="shared" si="0"/>
        <v/>
      </c>
      <c r="N39"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v>
      </c>
    </row>
    <row r="40" spans="1:14" x14ac:dyDescent="0.25">
      <c r="A40">
        <v>39</v>
      </c>
      <c r="B40" t="s">
        <v>40</v>
      </c>
      <c r="C40" t="s">
        <v>373</v>
      </c>
      <c r="D40" t="s">
        <v>118</v>
      </c>
      <c r="E40" s="197" t="s">
        <v>614</v>
      </c>
      <c r="F40" s="197">
        <v>14040</v>
      </c>
      <c r="G40" t="str">
        <f>LOOKUP(B40,ΠΕΡΙΦΕΡΕΙΑ!$A$2:$A$14,ΠΕΡΙΦΕΡΕΙΑ!$B$2:$B$14)</f>
        <v>Ολική</v>
      </c>
      <c r="H40" t="str">
        <f t="shared" si="1"/>
        <v/>
      </c>
      <c r="I40">
        <f t="shared" si="2"/>
        <v>263</v>
      </c>
      <c r="J40" t="str">
        <f t="shared" si="3"/>
        <v>ΝΟΤΙΟΥ ΑΙΓΑΙΟΥ</v>
      </c>
      <c r="K40" t="str">
        <f t="shared" si="4"/>
        <v>ΠΑΡΟΥ</v>
      </c>
      <c r="L40" s="163" t="s">
        <v>419</v>
      </c>
      <c r="M40" t="str">
        <f t="shared" si="0"/>
        <v xml:space="preserve">ΝΟΤΙΟΥ ΑΙΓΑΙΟΥ - ΠΑΡΟΥ, </v>
      </c>
      <c r="N40"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v>
      </c>
    </row>
    <row r="41" spans="1:14" x14ac:dyDescent="0.25">
      <c r="A41">
        <v>40</v>
      </c>
      <c r="B41" t="s">
        <v>40</v>
      </c>
      <c r="C41" t="s">
        <v>371</v>
      </c>
      <c r="D41" t="s">
        <v>103</v>
      </c>
      <c r="E41" s="197" t="s">
        <v>615</v>
      </c>
      <c r="F41" s="197">
        <v>14048</v>
      </c>
      <c r="G41" t="str">
        <f>LOOKUP(B41,ΠΕΡΙΦΕΡΕΙΑ!$A$2:$A$14,ΠΕΡΙΦΕΡΕΙΑ!$B$2:$B$14)</f>
        <v>Ολική</v>
      </c>
      <c r="H41" t="str">
        <f t="shared" si="1"/>
        <v/>
      </c>
      <c r="I41">
        <f t="shared" si="2"/>
        <v>264</v>
      </c>
      <c r="J41" t="str">
        <f t="shared" si="3"/>
        <v>ΝΟΤΙΟΥ ΑΙΓΑΙΟΥ</v>
      </c>
      <c r="K41" t="str">
        <f t="shared" si="4"/>
        <v>ΠΑΤΜΟΥ</v>
      </c>
      <c r="L41" s="163" t="s">
        <v>420</v>
      </c>
      <c r="M41" t="str">
        <f t="shared" si="0"/>
        <v/>
      </c>
      <c r="N41"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v>
      </c>
    </row>
    <row r="42" spans="1:14" x14ac:dyDescent="0.25">
      <c r="A42">
        <v>41</v>
      </c>
      <c r="B42" t="s">
        <v>40</v>
      </c>
      <c r="C42" t="s">
        <v>367</v>
      </c>
      <c r="D42" t="s">
        <v>65</v>
      </c>
      <c r="E42" s="197" t="s">
        <v>616</v>
      </c>
      <c r="F42" s="197">
        <v>14060</v>
      </c>
      <c r="G42" t="str">
        <f>LOOKUP(B42,ΠΕΡΙΦΕΡΕΙΑ!$A$2:$A$14,ΠΕΡΙΦΕΡΕΙΑ!$B$2:$B$14)</f>
        <v>Ολική</v>
      </c>
      <c r="H42" t="str">
        <f t="shared" si="1"/>
        <v/>
      </c>
      <c r="I42">
        <f t="shared" si="2"/>
        <v>265</v>
      </c>
      <c r="J42" t="str">
        <f t="shared" si="3"/>
        <v>ΝΟΤΙΟΥ ΑΙΓΑΙΟΥ</v>
      </c>
      <c r="K42" t="str">
        <f t="shared" si="4"/>
        <v>ΡΟΔΟΥ</v>
      </c>
      <c r="L42" s="163" t="s">
        <v>419</v>
      </c>
      <c r="M42" t="str">
        <f t="shared" si="0"/>
        <v xml:space="preserve">ΝΟΤΙΟΥ ΑΙΓΑΙΟΥ - ΡΟΔΟΥ, </v>
      </c>
      <c r="N42"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v>
      </c>
    </row>
    <row r="43" spans="1:14" x14ac:dyDescent="0.25">
      <c r="A43">
        <v>42</v>
      </c>
      <c r="B43" t="s">
        <v>40</v>
      </c>
      <c r="C43" t="s">
        <v>369</v>
      </c>
      <c r="D43" t="s">
        <v>89</v>
      </c>
      <c r="E43" s="197" t="s">
        <v>617</v>
      </c>
      <c r="F43" s="197">
        <v>14084</v>
      </c>
      <c r="G43" t="str">
        <f>LOOKUP(B43,ΠΕΡΙΦΕΡΕΙΑ!$A$2:$A$14,ΠΕΡΙΦΕΡΕΙΑ!$B$2:$B$14)</f>
        <v>Ολική</v>
      </c>
      <c r="H43" t="str">
        <f t="shared" si="1"/>
        <v/>
      </c>
      <c r="I43">
        <f t="shared" si="2"/>
        <v>266</v>
      </c>
      <c r="J43" t="str">
        <f t="shared" si="3"/>
        <v>ΝΟΤΙΟΥ ΑΙΓΑΙΟΥ</v>
      </c>
      <c r="K43" t="str">
        <f t="shared" si="4"/>
        <v>ΣΕΡΙΦΟΥ</v>
      </c>
      <c r="L43" s="163" t="s">
        <v>420</v>
      </c>
      <c r="M43" t="str">
        <f t="shared" si="0"/>
        <v/>
      </c>
      <c r="N43"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v>
      </c>
    </row>
    <row r="44" spans="1:14" x14ac:dyDescent="0.25">
      <c r="A44">
        <v>43</v>
      </c>
      <c r="B44" t="s">
        <v>40</v>
      </c>
      <c r="C44" t="s">
        <v>373</v>
      </c>
      <c r="D44" t="s">
        <v>119</v>
      </c>
      <c r="E44" s="197" t="s">
        <v>618</v>
      </c>
      <c r="F44" s="197">
        <v>14086</v>
      </c>
      <c r="G44" t="str">
        <f>LOOKUP(B44,ΠΕΡΙΦΕΡΕΙΑ!$A$2:$A$14,ΠΕΡΙΦΕΡΕΙΑ!$B$2:$B$14)</f>
        <v>Ολική</v>
      </c>
      <c r="H44" t="str">
        <f t="shared" si="1"/>
        <v/>
      </c>
      <c r="I44">
        <f t="shared" si="2"/>
        <v>267</v>
      </c>
      <c r="J44" t="str">
        <f t="shared" si="3"/>
        <v>ΝΟΤΙΟΥ ΑΙΓΑΙΟΥ</v>
      </c>
      <c r="K44" t="str">
        <f t="shared" si="4"/>
        <v>ΣΙΚΙΝΟΥ</v>
      </c>
      <c r="L44" s="163" t="s">
        <v>420</v>
      </c>
      <c r="M44" t="str">
        <f t="shared" si="0"/>
        <v/>
      </c>
      <c r="N44"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v>
      </c>
    </row>
    <row r="45" spans="1:14" x14ac:dyDescent="0.25">
      <c r="A45">
        <v>44</v>
      </c>
      <c r="B45" t="s">
        <v>40</v>
      </c>
      <c r="C45" t="s">
        <v>371</v>
      </c>
      <c r="D45" t="s">
        <v>104</v>
      </c>
      <c r="E45" s="197" t="s">
        <v>619</v>
      </c>
      <c r="F45" s="197">
        <v>14116</v>
      </c>
      <c r="G45" t="str">
        <f>LOOKUP(B45,ΠΕΡΙΦΕΡΕΙΑ!$A$2:$A$14,ΠΕΡΙΦΕΡΕΙΑ!$B$2:$B$14)</f>
        <v>Ολική</v>
      </c>
      <c r="H45" t="str">
        <f t="shared" si="1"/>
        <v/>
      </c>
      <c r="I45">
        <f t="shared" si="2"/>
        <v>268</v>
      </c>
      <c r="J45" t="str">
        <f t="shared" si="3"/>
        <v>ΝΟΤΙΟΥ ΑΙΓΑΙΟΥ</v>
      </c>
      <c r="K45" t="str">
        <f t="shared" si="4"/>
        <v>ΣΙΦΝΟΥ</v>
      </c>
      <c r="L45" s="163" t="s">
        <v>420</v>
      </c>
      <c r="M45" t="str">
        <f t="shared" si="0"/>
        <v/>
      </c>
      <c r="N45"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v>
      </c>
    </row>
    <row r="46" spans="1:14" x14ac:dyDescent="0.25">
      <c r="A46">
        <v>45</v>
      </c>
      <c r="B46" t="s">
        <v>40</v>
      </c>
      <c r="C46" t="s">
        <v>371</v>
      </c>
      <c r="D46" t="s">
        <v>105</v>
      </c>
      <c r="E46" s="197" t="s">
        <v>620</v>
      </c>
      <c r="F46" s="197">
        <v>14120</v>
      </c>
      <c r="G46" t="str">
        <f>LOOKUP(B46,ΠΕΡΙΦΕΡΕΙΑ!$A$2:$A$14,ΠΕΡΙΦΕΡΕΙΑ!$B$2:$B$14)</f>
        <v>Ολική</v>
      </c>
      <c r="H46" t="str">
        <f t="shared" si="1"/>
        <v/>
      </c>
      <c r="I46">
        <f t="shared" si="2"/>
        <v>269</v>
      </c>
      <c r="J46" t="str">
        <f t="shared" si="3"/>
        <v>ΝΟΤΙΟΥ ΑΙΓΑΙΟΥ</v>
      </c>
      <c r="K46" t="str">
        <f t="shared" si="4"/>
        <v>ΣΥΜΗΣ</v>
      </c>
      <c r="L46" s="163" t="s">
        <v>420</v>
      </c>
      <c r="M46" t="str">
        <f t="shared" si="0"/>
        <v/>
      </c>
      <c r="N46"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v>
      </c>
    </row>
    <row r="47" spans="1:14" x14ac:dyDescent="0.25">
      <c r="A47">
        <v>46</v>
      </c>
      <c r="B47" t="s">
        <v>40</v>
      </c>
      <c r="C47" t="s">
        <v>368</v>
      </c>
      <c r="D47" t="s">
        <v>79</v>
      </c>
      <c r="E47" s="197"/>
      <c r="F47" s="197"/>
      <c r="G47" t="str">
        <f>LOOKUP(B47,ΠΕΡΙΦΕΡΕΙΑ!$A$2:$A$14,ΠΕΡΙΦΕΡΕΙΑ!$B$2:$B$14)</f>
        <v>Ολική</v>
      </c>
      <c r="H47" t="str">
        <f t="shared" si="1"/>
        <v/>
      </c>
      <c r="I47">
        <f t="shared" si="2"/>
        <v>270</v>
      </c>
      <c r="J47" t="str">
        <f t="shared" si="3"/>
        <v>ΝΟΤΙΟΥ ΑΙΓΑΙΟΥ</v>
      </c>
      <c r="K47" t="str">
        <f t="shared" si="4"/>
        <v>ΣΥΡΟΥ – ΕΡΜΟΥΠΟΛΗΣ</v>
      </c>
      <c r="L47" s="163" t="s">
        <v>419</v>
      </c>
      <c r="M47" t="str">
        <f t="shared" si="0"/>
        <v xml:space="preserve">ΝΟΤΙΟΥ ΑΙΓΑΙΟΥ - ΣΥΡΟΥ – ΕΡΜΟΥΠΟΛΗΣ, </v>
      </c>
      <c r="N47"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v>
      </c>
    </row>
    <row r="48" spans="1:14" x14ac:dyDescent="0.25">
      <c r="A48">
        <v>47</v>
      </c>
      <c r="B48" t="s">
        <v>40</v>
      </c>
      <c r="C48" t="s">
        <v>370</v>
      </c>
      <c r="D48" t="s">
        <v>96</v>
      </c>
      <c r="E48" s="197" t="s">
        <v>621</v>
      </c>
      <c r="F48" s="197">
        <v>14150</v>
      </c>
      <c r="G48" t="str">
        <f>LOOKUP(B48,ΠΕΡΙΦΕΡΕΙΑ!$A$2:$A$14,ΠΕΡΙΦΕΡΕΙΑ!$B$2:$B$14)</f>
        <v>Ολική</v>
      </c>
      <c r="H48" t="str">
        <f t="shared" si="1"/>
        <v/>
      </c>
      <c r="I48">
        <f t="shared" si="2"/>
        <v>271</v>
      </c>
      <c r="J48" t="str">
        <f t="shared" si="3"/>
        <v>ΝΟΤΙΟΥ ΑΙΓΑΙΟΥ</v>
      </c>
      <c r="K48" t="str">
        <f t="shared" si="4"/>
        <v>ΤΗΛΟΥ</v>
      </c>
      <c r="L48" s="163" t="s">
        <v>420</v>
      </c>
      <c r="M48" t="str">
        <f t="shared" si="0"/>
        <v/>
      </c>
      <c r="N48"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v>
      </c>
    </row>
    <row r="49" spans="1:14" x14ac:dyDescent="0.25">
      <c r="A49">
        <v>48</v>
      </c>
      <c r="B49" t="s">
        <v>40</v>
      </c>
      <c r="C49" t="s">
        <v>371</v>
      </c>
      <c r="D49" t="s">
        <v>106</v>
      </c>
      <c r="E49" s="197" t="s">
        <v>622</v>
      </c>
      <c r="F49" s="197">
        <v>14158</v>
      </c>
      <c r="G49" t="str">
        <f>LOOKUP(B49,ΠΕΡΙΦΕΡΕΙΑ!$A$2:$A$14,ΠΕΡΙΦΕΡΕΙΑ!$B$2:$B$14)</f>
        <v>Ολική</v>
      </c>
      <c r="H49" t="str">
        <f t="shared" si="1"/>
        <v/>
      </c>
      <c r="I49">
        <f t="shared" si="2"/>
        <v>272</v>
      </c>
      <c r="J49" t="str">
        <f t="shared" si="3"/>
        <v>ΝΟΤΙΟΥ ΑΙΓΑΙΟΥ</v>
      </c>
      <c r="K49" t="str">
        <f t="shared" si="4"/>
        <v>ΤΗΝΟΥ</v>
      </c>
      <c r="L49" s="163" t="s">
        <v>419</v>
      </c>
      <c r="M49" t="str">
        <f t="shared" si="0"/>
        <v xml:space="preserve">ΝΟΤΙΟΥ ΑΙΓΑΙΟΥ - ΤΗΝΟΥ, </v>
      </c>
      <c r="N49"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50" spans="1:14" x14ac:dyDescent="0.25">
      <c r="A50">
        <v>49</v>
      </c>
      <c r="B50" t="s">
        <v>40</v>
      </c>
      <c r="C50" t="s">
        <v>373</v>
      </c>
      <c r="D50" t="s">
        <v>120</v>
      </c>
      <c r="E50" s="197" t="s">
        <v>623</v>
      </c>
      <c r="F50" s="197">
        <v>14180</v>
      </c>
      <c r="G50" t="str">
        <f>LOOKUP(B50,ΠΕΡΙΦΕΡΕΙΑ!$A$2:$A$14,ΠΕΡΙΦΕΡΕΙΑ!$B$2:$B$14)</f>
        <v>Ολική</v>
      </c>
      <c r="H50" t="str">
        <f t="shared" si="1"/>
        <v/>
      </c>
      <c r="I50">
        <f t="shared" si="2"/>
        <v>273</v>
      </c>
      <c r="J50" t="str">
        <f t="shared" si="3"/>
        <v>ΝΟΤΙΟΥ ΑΙΓΑΙΟΥ</v>
      </c>
      <c r="K50" t="str">
        <f t="shared" si="4"/>
        <v>ΦΟΛΕΓΑΝΔΡΟΥ</v>
      </c>
      <c r="L50" s="163" t="s">
        <v>420</v>
      </c>
      <c r="M50" t="str">
        <f t="shared" si="0"/>
        <v/>
      </c>
      <c r="N50"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51" spans="1:14" x14ac:dyDescent="0.25">
      <c r="A51">
        <v>50</v>
      </c>
      <c r="B51" t="s">
        <v>40</v>
      </c>
      <c r="C51" t="s">
        <v>127</v>
      </c>
      <c r="D51" t="s">
        <v>124</v>
      </c>
      <c r="E51" s="197" t="s">
        <v>624</v>
      </c>
      <c r="F51" s="197">
        <v>14164</v>
      </c>
      <c r="G51" t="str">
        <f>LOOKUP(B51,ΠΕΡΙΦΕΡΕΙΑ!$A$2:$A$14,ΠΕΡΙΦΕΡΕΙΑ!$B$2:$B$14)</f>
        <v>Ολική</v>
      </c>
      <c r="H51" t="str">
        <f t="shared" si="1"/>
        <v/>
      </c>
      <c r="I51">
        <f t="shared" si="2"/>
        <v>274</v>
      </c>
      <c r="J51" t="str">
        <f t="shared" si="3"/>
        <v>ΝΟΤΙΟΥ ΑΙΓΑΙΟΥ</v>
      </c>
      <c r="K51" t="str">
        <f t="shared" si="4"/>
        <v>ΧΑΛΚΗΣ</v>
      </c>
      <c r="L51" s="163" t="s">
        <v>420</v>
      </c>
      <c r="M51" t="str">
        <f t="shared" si="0"/>
        <v/>
      </c>
      <c r="N51"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52" spans="1:14" x14ac:dyDescent="0.25">
      <c r="A52">
        <v>51</v>
      </c>
      <c r="B52" t="s">
        <v>40</v>
      </c>
      <c r="C52" t="s">
        <v>368</v>
      </c>
      <c r="D52" t="s">
        <v>80</v>
      </c>
      <c r="E52" s="197" t="s">
        <v>625</v>
      </c>
      <c r="F52" s="197">
        <v>14166</v>
      </c>
      <c r="G52" t="str">
        <f>LOOKUP(B52,ΠΕΡΙΦΕΡΕΙΑ!$A$2:$A$14,ΠΕΡΙΦΕΡΕΙΑ!$B$2:$B$14)</f>
        <v>Ολική</v>
      </c>
      <c r="H52" t="str">
        <f t="shared" si="1"/>
        <v/>
      </c>
      <c r="I52" t="e">
        <f t="shared" si="2"/>
        <v>#NUM!</v>
      </c>
      <c r="J52" t="str">
        <f t="shared" si="3"/>
        <v/>
      </c>
      <c r="K52" t="str">
        <f t="shared" si="4"/>
        <v/>
      </c>
      <c r="L52" s="163" t="s">
        <v>420</v>
      </c>
      <c r="M52" t="str">
        <f t="shared" si="0"/>
        <v/>
      </c>
      <c r="N52"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53" spans="1:14" x14ac:dyDescent="0.25">
      <c r="A53">
        <v>52</v>
      </c>
      <c r="B53" t="s">
        <v>40</v>
      </c>
      <c r="C53" t="s">
        <v>127</v>
      </c>
      <c r="D53" t="s">
        <v>125</v>
      </c>
      <c r="E53" s="197" t="s">
        <v>626</v>
      </c>
      <c r="F53" s="197">
        <v>14226</v>
      </c>
      <c r="G53" t="str">
        <f>LOOKUP(B53,ΠΕΡΙΦΕΡΕΙΑ!$A$2:$A$14,ΠΕΡΙΦΕΡΕΙΑ!$B$2:$B$14)</f>
        <v>Ολική</v>
      </c>
      <c r="H53" t="str">
        <f t="shared" si="1"/>
        <v/>
      </c>
      <c r="I53" t="e">
        <f t="shared" si="2"/>
        <v>#NUM!</v>
      </c>
      <c r="J53" t="str">
        <f t="shared" si="3"/>
        <v/>
      </c>
      <c r="K53" t="str">
        <f t="shared" si="4"/>
        <v/>
      </c>
      <c r="L53" s="163" t="s">
        <v>420</v>
      </c>
      <c r="M53" t="str">
        <f t="shared" si="0"/>
        <v/>
      </c>
      <c r="N53"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54" spans="1:14" x14ac:dyDescent="0.25">
      <c r="A54">
        <v>53</v>
      </c>
      <c r="B54" t="s">
        <v>40</v>
      </c>
      <c r="C54" t="s">
        <v>367</v>
      </c>
      <c r="D54" t="s">
        <v>66</v>
      </c>
      <c r="E54" s="197" t="s">
        <v>627</v>
      </c>
      <c r="F54" s="197">
        <v>14228</v>
      </c>
      <c r="G54" t="str">
        <f>LOOKUP(B54,ΠΕΡΙΦΕΡΕΙΑ!$A$2:$A$14,ΠΕΡΙΦΕΡΕΙΑ!$B$2:$B$14)</f>
        <v>Ολική</v>
      </c>
      <c r="H54" t="str">
        <f t="shared" si="1"/>
        <v/>
      </c>
      <c r="I54" t="e">
        <f t="shared" si="2"/>
        <v>#NUM!</v>
      </c>
      <c r="J54" t="str">
        <f t="shared" si="3"/>
        <v/>
      </c>
      <c r="K54" t="str">
        <f t="shared" si="4"/>
        <v/>
      </c>
      <c r="L54" s="163" t="s">
        <v>420</v>
      </c>
      <c r="M54" t="str">
        <f t="shared" si="0"/>
        <v/>
      </c>
      <c r="N54"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55" spans="1:14" x14ac:dyDescent="0.25">
      <c r="A55">
        <v>54</v>
      </c>
      <c r="B55" t="s">
        <v>40</v>
      </c>
      <c r="C55" t="s">
        <v>372</v>
      </c>
      <c r="D55" t="s">
        <v>110</v>
      </c>
      <c r="E55" s="197" t="s">
        <v>628</v>
      </c>
      <c r="F55" s="197">
        <v>14230</v>
      </c>
      <c r="G55" t="str">
        <f>LOOKUP(B55,ΠΕΡΙΦΕΡΕΙΑ!$A$2:$A$14,ΠΕΡΙΦΕΡΕΙΑ!$B$2:$B$14)</f>
        <v>Ολική</v>
      </c>
      <c r="H55" t="str">
        <f t="shared" si="1"/>
        <v/>
      </c>
      <c r="I55" t="e">
        <f t="shared" si="2"/>
        <v>#NUM!</v>
      </c>
      <c r="J55" t="str">
        <f t="shared" si="3"/>
        <v/>
      </c>
      <c r="K55" t="str">
        <f t="shared" si="4"/>
        <v/>
      </c>
      <c r="L55" s="163" t="s">
        <v>420</v>
      </c>
      <c r="M55" t="str">
        <f t="shared" si="0"/>
        <v/>
      </c>
      <c r="N55"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56" spans="1:14" x14ac:dyDescent="0.25">
      <c r="A56">
        <v>55</v>
      </c>
      <c r="B56" t="s">
        <v>40</v>
      </c>
      <c r="C56" t="s">
        <v>367</v>
      </c>
      <c r="D56" t="s">
        <v>67</v>
      </c>
      <c r="E56" s="197" t="s">
        <v>629</v>
      </c>
      <c r="F56" s="197">
        <v>14248</v>
      </c>
      <c r="G56" t="str">
        <f>LOOKUP(B56,ΠΕΡΙΦΕΡΕΙΑ!$A$2:$A$14,ΠΕΡΙΦΕΡΕΙΑ!$B$2:$B$14)</f>
        <v>Ολική</v>
      </c>
      <c r="H56" t="str">
        <f t="shared" si="1"/>
        <v/>
      </c>
      <c r="I56" t="e">
        <f t="shared" si="2"/>
        <v>#NUM!</v>
      </c>
      <c r="J56" t="str">
        <f t="shared" si="3"/>
        <v/>
      </c>
      <c r="K56" t="str">
        <f t="shared" si="4"/>
        <v/>
      </c>
      <c r="L56" s="163" t="s">
        <v>420</v>
      </c>
      <c r="M56" t="str">
        <f t="shared" si="0"/>
        <v/>
      </c>
      <c r="N56"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57" spans="1:14" x14ac:dyDescent="0.25">
      <c r="A57">
        <v>56</v>
      </c>
      <c r="B57" t="s">
        <v>40</v>
      </c>
      <c r="C57" t="s">
        <v>368</v>
      </c>
      <c r="D57" t="s">
        <v>81</v>
      </c>
      <c r="E57" s="197" t="s">
        <v>630</v>
      </c>
      <c r="F57" s="197">
        <v>14260</v>
      </c>
      <c r="G57" t="str">
        <f>LOOKUP(B57,ΠΕΡΙΦΕΡΕΙΑ!$A$2:$A$14,ΠΕΡΙΦΕΡΕΙΑ!$B$2:$B$14)</f>
        <v>Ολική</v>
      </c>
      <c r="H57" t="str">
        <f t="shared" si="1"/>
        <v/>
      </c>
      <c r="I57" t="e">
        <f t="shared" si="2"/>
        <v>#NUM!</v>
      </c>
      <c r="J57" t="str">
        <f t="shared" si="3"/>
        <v/>
      </c>
      <c r="K57" t="str">
        <f t="shared" si="4"/>
        <v/>
      </c>
      <c r="L57" s="163" t="s">
        <v>420</v>
      </c>
      <c r="M57" t="str">
        <f t="shared" si="0"/>
        <v/>
      </c>
      <c r="N57"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58" spans="1:14" x14ac:dyDescent="0.25">
      <c r="A58">
        <v>57</v>
      </c>
      <c r="B58" t="s">
        <v>40</v>
      </c>
      <c r="C58" t="s">
        <v>369</v>
      </c>
      <c r="D58" t="s">
        <v>90</v>
      </c>
      <c r="E58" s="197" t="s">
        <v>631</v>
      </c>
      <c r="F58" s="197">
        <v>14274</v>
      </c>
      <c r="G58" t="str">
        <f>LOOKUP(B58,ΠΕΡΙΦΕΡΕΙΑ!$A$2:$A$14,ΠΕΡΙΦΕΡΕΙΑ!$B$2:$B$14)</f>
        <v>Ολική</v>
      </c>
      <c r="H58" t="str">
        <f t="shared" si="1"/>
        <v/>
      </c>
      <c r="I58" t="e">
        <f t="shared" si="2"/>
        <v>#NUM!</v>
      </c>
      <c r="J58" t="str">
        <f t="shared" si="3"/>
        <v/>
      </c>
      <c r="K58" t="str">
        <f t="shared" si="4"/>
        <v/>
      </c>
      <c r="L58" s="163" t="s">
        <v>420</v>
      </c>
      <c r="M58" t="str">
        <f t="shared" si="0"/>
        <v/>
      </c>
      <c r="N58"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59" spans="1:14" x14ac:dyDescent="0.25">
      <c r="A59">
        <v>58</v>
      </c>
      <c r="B59" t="s">
        <v>40</v>
      </c>
      <c r="C59" t="s">
        <v>367</v>
      </c>
      <c r="D59" t="s">
        <v>68</v>
      </c>
      <c r="E59" s="197" t="s">
        <v>632</v>
      </c>
      <c r="F59" s="197">
        <v>14266</v>
      </c>
      <c r="G59" t="str">
        <f>LOOKUP(B59,ΠΕΡΙΦΕΡΕΙΑ!$A$2:$A$14,ΠΕΡΙΦΕΡΕΙΑ!$B$2:$B$14)</f>
        <v>Ολική</v>
      </c>
      <c r="H59" t="str">
        <f t="shared" si="1"/>
        <v/>
      </c>
      <c r="I59" t="e">
        <f t="shared" si="2"/>
        <v>#NUM!</v>
      </c>
      <c r="J59" t="str">
        <f t="shared" si="3"/>
        <v/>
      </c>
      <c r="K59" t="str">
        <f t="shared" si="4"/>
        <v/>
      </c>
      <c r="L59" s="163" t="s">
        <v>420</v>
      </c>
      <c r="M59" t="str">
        <f t="shared" si="0"/>
        <v/>
      </c>
      <c r="N59"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60" spans="1:14" x14ac:dyDescent="0.25">
      <c r="A60">
        <v>59</v>
      </c>
      <c r="B60" t="s">
        <v>40</v>
      </c>
      <c r="C60" t="s">
        <v>367</v>
      </c>
      <c r="D60" t="s">
        <v>69</v>
      </c>
      <c r="E60" s="197" t="s">
        <v>633</v>
      </c>
      <c r="F60" s="197">
        <v>14278</v>
      </c>
      <c r="G60" t="str">
        <f>LOOKUP(B60,ΠΕΡΙΦΕΡΕΙΑ!$A$2:$A$14,ΠΕΡΙΦΕΡΕΙΑ!$B$2:$B$14)</f>
        <v>Ολική</v>
      </c>
      <c r="H60" t="str">
        <f t="shared" si="1"/>
        <v/>
      </c>
      <c r="I60" t="e">
        <f t="shared" si="2"/>
        <v>#NUM!</v>
      </c>
      <c r="J60" t="str">
        <f t="shared" si="3"/>
        <v/>
      </c>
      <c r="K60" t="str">
        <f t="shared" si="4"/>
        <v/>
      </c>
      <c r="L60" s="163" t="s">
        <v>420</v>
      </c>
      <c r="M60" t="str">
        <f t="shared" si="0"/>
        <v/>
      </c>
      <c r="N60"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61" spans="1:14" x14ac:dyDescent="0.25">
      <c r="A61">
        <v>60</v>
      </c>
      <c r="B61" t="s">
        <v>40</v>
      </c>
      <c r="C61" t="s">
        <v>369</v>
      </c>
      <c r="D61" t="s">
        <v>91</v>
      </c>
      <c r="E61" s="197" t="s">
        <v>634</v>
      </c>
      <c r="F61" s="197">
        <v>14288</v>
      </c>
      <c r="G61" t="str">
        <f>LOOKUP(B61,ΠΕΡΙΦΕΡΕΙΑ!$A$2:$A$14,ΠΕΡΙΦΕΡΕΙΑ!$B$2:$B$14)</f>
        <v>Ολική</v>
      </c>
      <c r="H61" t="str">
        <f t="shared" si="1"/>
        <v/>
      </c>
      <c r="I61" t="e">
        <f t="shared" si="2"/>
        <v>#NUM!</v>
      </c>
      <c r="J61" t="str">
        <f t="shared" si="3"/>
        <v/>
      </c>
      <c r="K61" t="str">
        <f t="shared" si="4"/>
        <v/>
      </c>
      <c r="L61" s="163" t="s">
        <v>420</v>
      </c>
      <c r="M61" t="str">
        <f t="shared" si="0"/>
        <v/>
      </c>
      <c r="N61"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62" spans="1:14" x14ac:dyDescent="0.25">
      <c r="A62">
        <v>61</v>
      </c>
      <c r="B62" t="s">
        <v>40</v>
      </c>
      <c r="C62" t="s">
        <v>368</v>
      </c>
      <c r="D62" t="s">
        <v>82</v>
      </c>
      <c r="E62" s="197" t="s">
        <v>635</v>
      </c>
      <c r="F62" s="197">
        <v>14286</v>
      </c>
      <c r="G62" t="str">
        <f>LOOKUP(B62,ΠΕΡΙΦΕΡΕΙΑ!$A$2:$A$14,ΠΕΡΙΦΕΡΕΙΑ!$B$2:$B$14)</f>
        <v>Ολική</v>
      </c>
      <c r="H62" t="str">
        <f t="shared" si="1"/>
        <v/>
      </c>
      <c r="I62" t="e">
        <f t="shared" si="2"/>
        <v>#NUM!</v>
      </c>
      <c r="J62" t="str">
        <f t="shared" si="3"/>
        <v/>
      </c>
      <c r="K62" t="str">
        <f t="shared" si="4"/>
        <v/>
      </c>
      <c r="L62" s="163" t="s">
        <v>420</v>
      </c>
      <c r="M62" t="str">
        <f t="shared" si="0"/>
        <v/>
      </c>
      <c r="N62"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63" spans="1:14" x14ac:dyDescent="0.25">
      <c r="A63">
        <v>62</v>
      </c>
      <c r="B63" t="s">
        <v>40</v>
      </c>
      <c r="C63" t="s">
        <v>373</v>
      </c>
      <c r="D63" t="s">
        <v>121</v>
      </c>
      <c r="E63" s="197" t="s">
        <v>636</v>
      </c>
      <c r="F63" s="197">
        <v>14300</v>
      </c>
      <c r="G63" t="str">
        <f>LOOKUP(B63,ΠΕΡΙΦΕΡΕΙΑ!$A$2:$A$14,ΠΕΡΙΦΕΡΕΙΑ!$B$2:$B$14)</f>
        <v>Ολική</v>
      </c>
      <c r="H63" t="str">
        <f t="shared" si="1"/>
        <v/>
      </c>
      <c r="I63" t="e">
        <f t="shared" si="2"/>
        <v>#NUM!</v>
      </c>
      <c r="J63" t="str">
        <f t="shared" si="3"/>
        <v/>
      </c>
      <c r="K63" t="str">
        <f t="shared" si="4"/>
        <v/>
      </c>
      <c r="L63" s="163" t="s">
        <v>420</v>
      </c>
      <c r="M63" t="str">
        <f t="shared" si="0"/>
        <v/>
      </c>
      <c r="N63"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64" spans="1:14" x14ac:dyDescent="0.25">
      <c r="A64">
        <v>63</v>
      </c>
      <c r="B64" t="s">
        <v>40</v>
      </c>
      <c r="C64" t="s">
        <v>368</v>
      </c>
      <c r="D64" t="s">
        <v>83</v>
      </c>
      <c r="E64" s="197" t="s">
        <v>637</v>
      </c>
      <c r="F64" s="197">
        <v>14316</v>
      </c>
      <c r="G64" t="str">
        <f>LOOKUP(B64,ΠΕΡΙΦΕΡΕΙΑ!$A$2:$A$14,ΠΕΡΙΦΕΡΕΙΑ!$B$2:$B$14)</f>
        <v>Ολική</v>
      </c>
      <c r="H64" t="str">
        <f t="shared" si="1"/>
        <v/>
      </c>
      <c r="I64" t="e">
        <f t="shared" si="2"/>
        <v>#NUM!</v>
      </c>
      <c r="J64" t="str">
        <f t="shared" si="3"/>
        <v/>
      </c>
      <c r="K64" t="str">
        <f t="shared" si="4"/>
        <v/>
      </c>
      <c r="L64" s="163" t="s">
        <v>420</v>
      </c>
      <c r="M64" t="str">
        <f t="shared" si="0"/>
        <v/>
      </c>
      <c r="N64"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65" spans="1:14" x14ac:dyDescent="0.25">
      <c r="A65">
        <v>64</v>
      </c>
      <c r="B65" t="s">
        <v>40</v>
      </c>
      <c r="C65" t="s">
        <v>373</v>
      </c>
      <c r="D65" t="s">
        <v>122</v>
      </c>
      <c r="E65" s="197" t="s">
        <v>638</v>
      </c>
      <c r="F65" s="197">
        <v>14320</v>
      </c>
      <c r="G65" t="str">
        <f>LOOKUP(B65,ΠΕΡΙΦΕΡΕΙΑ!$A$2:$A$14,ΠΕΡΙΦΕΡΕΙΑ!$B$2:$B$14)</f>
        <v>Ολική</v>
      </c>
      <c r="H65" t="str">
        <f t="shared" si="1"/>
        <v/>
      </c>
      <c r="I65" t="e">
        <f t="shared" si="2"/>
        <v>#NUM!</v>
      </c>
      <c r="J65" t="str">
        <f t="shared" si="3"/>
        <v/>
      </c>
      <c r="K65" t="str">
        <f t="shared" si="4"/>
        <v/>
      </c>
      <c r="L65" s="163" t="s">
        <v>420</v>
      </c>
      <c r="M65" t="str">
        <f t="shared" si="0"/>
        <v/>
      </c>
      <c r="N65"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66" spans="1:14" x14ac:dyDescent="0.25">
      <c r="A66">
        <v>65</v>
      </c>
      <c r="B66" t="s">
        <v>40</v>
      </c>
      <c r="C66" t="s">
        <v>127</v>
      </c>
      <c r="D66" t="s">
        <v>126</v>
      </c>
      <c r="E66" s="197" t="s">
        <v>639</v>
      </c>
      <c r="F66" s="197">
        <v>14338</v>
      </c>
      <c r="G66" t="str">
        <f>LOOKUP(B66,ΠΕΡΙΦΕΡΕΙΑ!$A$2:$A$14,ΠΕΡΙΦΕΡΕΙΑ!$B$2:$B$14)</f>
        <v>Ολική</v>
      </c>
      <c r="H66" t="str">
        <f t="shared" si="1"/>
        <v/>
      </c>
      <c r="I66" t="e">
        <f t="shared" si="2"/>
        <v>#NUM!</v>
      </c>
      <c r="J66" t="str">
        <f t="shared" si="3"/>
        <v/>
      </c>
      <c r="K66" t="str">
        <f t="shared" si="4"/>
        <v/>
      </c>
      <c r="L66" s="163" t="s">
        <v>420</v>
      </c>
      <c r="M66" t="str">
        <f t="shared" ref="M66:M129" si="6">IF(K66&lt;&gt;"",IF(L66="ΝΑΙ",J66&amp;" - "&amp;K66&amp;", ",""),"")</f>
        <v/>
      </c>
      <c r="N66"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67" spans="1:14" x14ac:dyDescent="0.25">
      <c r="A67">
        <v>66</v>
      </c>
      <c r="B67" t="s">
        <v>40</v>
      </c>
      <c r="C67" t="s">
        <v>367</v>
      </c>
      <c r="D67" t="s">
        <v>70</v>
      </c>
      <c r="E67" s="197" t="s">
        <v>640</v>
      </c>
      <c r="F67" s="197">
        <v>14362</v>
      </c>
      <c r="G67" t="str">
        <f>LOOKUP(B67,ΠΕΡΙΦΕΡΕΙΑ!$A$2:$A$14,ΠΕΡΙΦΕΡΕΙΑ!$B$2:$B$14)</f>
        <v>Ολική</v>
      </c>
      <c r="H67" t="str">
        <f t="shared" ref="H67:H130" si="7">IF(G67="Μερική",A67,"")</f>
        <v/>
      </c>
      <c r="I67" t="e">
        <f t="shared" ref="I67:I130" si="8">SMALL(H:H,A67)</f>
        <v>#NUM!</v>
      </c>
      <c r="J67" t="str">
        <f t="shared" ref="J67:J130" si="9">IF(ISNUMBER(I67),LOOKUP(I67,A:A,B:B),"")</f>
        <v/>
      </c>
      <c r="K67" t="str">
        <f t="shared" ref="K67:K130" si="10">IF(ISNUMBER(I67),LOOKUP(I67,A:A,D:D),"")</f>
        <v/>
      </c>
      <c r="L67" s="163" t="s">
        <v>420</v>
      </c>
      <c r="M67" t="str">
        <f t="shared" si="6"/>
        <v/>
      </c>
      <c r="N67" t="str">
        <f t="shared" si="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68" spans="1:14" x14ac:dyDescent="0.25">
      <c r="A68">
        <v>67</v>
      </c>
      <c r="B68" t="s">
        <v>40</v>
      </c>
      <c r="C68" t="s">
        <v>373</v>
      </c>
      <c r="D68" t="s">
        <v>123</v>
      </c>
      <c r="E68" s="197" t="s">
        <v>641</v>
      </c>
      <c r="F68" s="197">
        <v>14386</v>
      </c>
      <c r="G68" t="str">
        <f>LOOKUP(B68,ΠΕΡΙΦΕΡΕΙΑ!$A$2:$A$14,ΠΕΡΙΦΕΡΕΙΑ!$B$2:$B$14)</f>
        <v>Ολική</v>
      </c>
      <c r="H68" t="str">
        <f t="shared" si="7"/>
        <v/>
      </c>
      <c r="I68" t="e">
        <f t="shared" si="8"/>
        <v>#NUM!</v>
      </c>
      <c r="J68" t="str">
        <f t="shared" si="9"/>
        <v/>
      </c>
      <c r="K68" t="str">
        <f t="shared" si="10"/>
        <v/>
      </c>
      <c r="L68" s="163" t="s">
        <v>420</v>
      </c>
      <c r="M68" t="str">
        <f t="shared" si="6"/>
        <v/>
      </c>
      <c r="N68" t="str">
        <f t="shared" ref="N68:N131" si="11">N67&amp;M68</f>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69" spans="1:14" x14ac:dyDescent="0.25">
      <c r="A69">
        <v>68</v>
      </c>
      <c r="B69" t="s">
        <v>40</v>
      </c>
      <c r="C69" t="s">
        <v>367</v>
      </c>
      <c r="D69" t="s">
        <v>71</v>
      </c>
      <c r="E69" s="197" t="s">
        <v>642</v>
      </c>
      <c r="F69" s="197">
        <v>14390</v>
      </c>
      <c r="G69" t="str">
        <f>LOOKUP(B69,ΠΕΡΙΦΕΡΕΙΑ!$A$2:$A$14,ΠΕΡΙΦΕΡΕΙΑ!$B$2:$B$14)</f>
        <v>Ολική</v>
      </c>
      <c r="H69" t="str">
        <f t="shared" si="7"/>
        <v/>
      </c>
      <c r="I69" t="e">
        <f t="shared" si="8"/>
        <v>#NUM!</v>
      </c>
      <c r="J69" t="str">
        <f t="shared" si="9"/>
        <v/>
      </c>
      <c r="K69" t="str">
        <f t="shared" si="10"/>
        <v/>
      </c>
      <c r="L69" s="163" t="s">
        <v>420</v>
      </c>
      <c r="M69" t="str">
        <f t="shared" si="6"/>
        <v/>
      </c>
      <c r="N69"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70" spans="1:14" x14ac:dyDescent="0.25">
      <c r="A70">
        <v>69</v>
      </c>
      <c r="B70" t="s">
        <v>40</v>
      </c>
      <c r="C70" t="s">
        <v>368</v>
      </c>
      <c r="D70" t="s">
        <v>84</v>
      </c>
      <c r="E70" s="197" t="s">
        <v>643</v>
      </c>
      <c r="F70" s="197">
        <v>14394</v>
      </c>
      <c r="G70" t="str">
        <f>LOOKUP(B70,ΠΕΡΙΦΕΡΕΙΑ!$A$2:$A$14,ΠΕΡΙΦΕΡΕΙΑ!$B$2:$B$14)</f>
        <v>Ολική</v>
      </c>
      <c r="H70" t="str">
        <f t="shared" si="7"/>
        <v/>
      </c>
      <c r="I70" t="e">
        <f t="shared" si="8"/>
        <v>#NUM!</v>
      </c>
      <c r="J70" t="str">
        <f t="shared" si="9"/>
        <v/>
      </c>
      <c r="K70" t="str">
        <f t="shared" si="10"/>
        <v/>
      </c>
      <c r="L70" s="163" t="s">
        <v>420</v>
      </c>
      <c r="M70" t="str">
        <f t="shared" si="6"/>
        <v/>
      </c>
      <c r="N70"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71" spans="1:14" x14ac:dyDescent="0.25">
      <c r="A71">
        <v>70</v>
      </c>
      <c r="B71" t="s">
        <v>40</v>
      </c>
      <c r="C71" t="s">
        <v>127</v>
      </c>
      <c r="D71" t="s">
        <v>127</v>
      </c>
      <c r="E71" s="197" t="s">
        <v>644</v>
      </c>
      <c r="F71" s="197">
        <v>14402</v>
      </c>
      <c r="G71" t="str">
        <f>LOOKUP(B71,ΠΕΡΙΦΕΡΕΙΑ!$A$2:$A$14,ΠΕΡΙΦΕΡΕΙΑ!$B$2:$B$14)</f>
        <v>Ολική</v>
      </c>
      <c r="H71" t="str">
        <f t="shared" si="7"/>
        <v/>
      </c>
      <c r="I71" t="e">
        <f t="shared" si="8"/>
        <v>#NUM!</v>
      </c>
      <c r="J71" t="str">
        <f t="shared" si="9"/>
        <v/>
      </c>
      <c r="K71" t="str">
        <f t="shared" si="10"/>
        <v/>
      </c>
      <c r="L71" s="163" t="s">
        <v>420</v>
      </c>
      <c r="M71" t="str">
        <f t="shared" si="6"/>
        <v/>
      </c>
      <c r="N71"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72" spans="1:14" x14ac:dyDescent="0.25">
      <c r="A72">
        <v>71</v>
      </c>
      <c r="B72" t="s">
        <v>40</v>
      </c>
      <c r="C72" t="s">
        <v>368</v>
      </c>
      <c r="D72" t="s">
        <v>85</v>
      </c>
      <c r="E72" s="197" t="s">
        <v>645</v>
      </c>
      <c r="F72" s="197">
        <v>14404</v>
      </c>
      <c r="G72" t="str">
        <f>LOOKUP(B72,ΠΕΡΙΦΕΡΕΙΑ!$A$2:$A$14,ΠΕΡΙΦΕΡΕΙΑ!$B$2:$B$14)</f>
        <v>Ολική</v>
      </c>
      <c r="H72" t="str">
        <f t="shared" si="7"/>
        <v/>
      </c>
      <c r="I72" t="e">
        <f t="shared" si="8"/>
        <v>#NUM!</v>
      </c>
      <c r="J72" t="str">
        <f t="shared" si="9"/>
        <v/>
      </c>
      <c r="K72" t="str">
        <f t="shared" si="10"/>
        <v/>
      </c>
      <c r="L72" s="163" t="s">
        <v>420</v>
      </c>
      <c r="M72" t="str">
        <f t="shared" si="6"/>
        <v/>
      </c>
      <c r="N72"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73" spans="1:14" x14ac:dyDescent="0.25">
      <c r="A73">
        <v>72</v>
      </c>
      <c r="B73" t="s">
        <v>40</v>
      </c>
      <c r="C73" t="s">
        <v>127</v>
      </c>
      <c r="D73" t="s">
        <v>128</v>
      </c>
      <c r="E73" s="197" t="s">
        <v>646</v>
      </c>
      <c r="F73" s="197">
        <v>14370</v>
      </c>
      <c r="G73" t="str">
        <f>LOOKUP(B73,ΠΕΡΙΦΕΡΕΙΑ!$A$2:$A$14,ΠΕΡΙΦΕΡΕΙΑ!$B$2:$B$14)</f>
        <v>Ολική</v>
      </c>
      <c r="H73" t="str">
        <f t="shared" si="7"/>
        <v/>
      </c>
      <c r="I73" t="e">
        <f t="shared" si="8"/>
        <v>#NUM!</v>
      </c>
      <c r="J73" t="str">
        <f t="shared" si="9"/>
        <v/>
      </c>
      <c r="K73" t="str">
        <f t="shared" si="10"/>
        <v/>
      </c>
      <c r="L73" s="163" t="s">
        <v>420</v>
      </c>
      <c r="M73" t="str">
        <f t="shared" si="6"/>
        <v/>
      </c>
      <c r="N73"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74" spans="1:14" x14ac:dyDescent="0.25">
      <c r="A74">
        <v>73</v>
      </c>
      <c r="B74" t="s">
        <v>40</v>
      </c>
      <c r="C74" t="s">
        <v>370</v>
      </c>
      <c r="D74" t="s">
        <v>97</v>
      </c>
      <c r="E74" s="197" t="s">
        <v>647</v>
      </c>
      <c r="F74" s="197">
        <v>14406</v>
      </c>
      <c r="G74" t="str">
        <f>LOOKUP(B74,ΠΕΡΙΦΕΡΕΙΑ!$A$2:$A$14,ΠΕΡΙΦΕΡΕΙΑ!$B$2:$B$14)</f>
        <v>Ολική</v>
      </c>
      <c r="H74" t="str">
        <f t="shared" si="7"/>
        <v/>
      </c>
      <c r="I74" t="e">
        <f t="shared" si="8"/>
        <v>#NUM!</v>
      </c>
      <c r="J74" t="str">
        <f t="shared" si="9"/>
        <v/>
      </c>
      <c r="K74" t="str">
        <f t="shared" si="10"/>
        <v/>
      </c>
      <c r="L74" s="163" t="s">
        <v>420</v>
      </c>
      <c r="M74" t="str">
        <f t="shared" si="6"/>
        <v/>
      </c>
      <c r="N74"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75" spans="1:14" x14ac:dyDescent="0.25">
      <c r="A75">
        <v>74</v>
      </c>
      <c r="B75" t="s">
        <v>40</v>
      </c>
      <c r="C75" t="s">
        <v>370</v>
      </c>
      <c r="D75" t="s">
        <v>98</v>
      </c>
      <c r="E75" s="197" t="s">
        <v>648</v>
      </c>
      <c r="F75" s="197">
        <v>14408</v>
      </c>
      <c r="G75" t="str">
        <f>LOOKUP(B75,ΠΕΡΙΦΕΡΕΙΑ!$A$2:$A$14,ΠΕΡΙΦΕΡΕΙΑ!$B$2:$B$14)</f>
        <v>Ολική</v>
      </c>
      <c r="H75" t="str">
        <f t="shared" si="7"/>
        <v/>
      </c>
      <c r="I75" t="e">
        <f t="shared" si="8"/>
        <v>#NUM!</v>
      </c>
      <c r="J75" t="str">
        <f t="shared" si="9"/>
        <v/>
      </c>
      <c r="K75" t="str">
        <f t="shared" si="10"/>
        <v/>
      </c>
      <c r="L75" s="163" t="s">
        <v>420</v>
      </c>
      <c r="M75" t="str">
        <f t="shared" si="6"/>
        <v/>
      </c>
      <c r="N75"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76" spans="1:14" x14ac:dyDescent="0.25">
      <c r="A76">
        <v>75</v>
      </c>
      <c r="B76" t="s">
        <v>40</v>
      </c>
      <c r="C76" t="s">
        <v>372</v>
      </c>
      <c r="D76" t="s">
        <v>111</v>
      </c>
      <c r="E76" s="197" t="s">
        <v>649</v>
      </c>
      <c r="F76" s="197">
        <v>14416</v>
      </c>
      <c r="G76" t="str">
        <f>LOOKUP(B76,ΠΕΡΙΦΕΡΕΙΑ!$A$2:$A$14,ΠΕΡΙΦΕΡΕΙΑ!$B$2:$B$14)</f>
        <v>Ολική</v>
      </c>
      <c r="H76" t="str">
        <f t="shared" si="7"/>
        <v/>
      </c>
      <c r="I76" t="e">
        <f t="shared" si="8"/>
        <v>#NUM!</v>
      </c>
      <c r="J76" t="str">
        <f t="shared" si="9"/>
        <v/>
      </c>
      <c r="K76" t="str">
        <f t="shared" si="10"/>
        <v/>
      </c>
      <c r="L76" s="163" t="s">
        <v>420</v>
      </c>
      <c r="M76" t="str">
        <f t="shared" si="6"/>
        <v/>
      </c>
      <c r="N76"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77" spans="1:14" x14ac:dyDescent="0.25">
      <c r="A77">
        <v>76</v>
      </c>
      <c r="B77" t="s">
        <v>40</v>
      </c>
      <c r="C77" t="s">
        <v>367</v>
      </c>
      <c r="D77" t="s">
        <v>72</v>
      </c>
      <c r="E77" s="197" t="s">
        <v>650</v>
      </c>
      <c r="F77" s="197">
        <v>14380</v>
      </c>
      <c r="G77" t="str">
        <f>LOOKUP(B77,ΠΕΡΙΦΕΡΕΙΑ!$A$2:$A$14,ΠΕΡΙΦΕΡΕΙΑ!$B$2:$B$14)</f>
        <v>Ολική</v>
      </c>
      <c r="H77" t="str">
        <f t="shared" si="7"/>
        <v/>
      </c>
      <c r="I77" t="e">
        <f t="shared" si="8"/>
        <v>#NUM!</v>
      </c>
      <c r="J77" t="str">
        <f t="shared" si="9"/>
        <v/>
      </c>
      <c r="K77" t="str">
        <f t="shared" si="10"/>
        <v/>
      </c>
      <c r="L77" s="163" t="s">
        <v>420</v>
      </c>
      <c r="M77" t="str">
        <f t="shared" si="6"/>
        <v/>
      </c>
      <c r="N77"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78" spans="1:14" x14ac:dyDescent="0.25">
      <c r="A78">
        <v>77</v>
      </c>
      <c r="B78" t="s">
        <v>40</v>
      </c>
      <c r="C78" t="s">
        <v>372</v>
      </c>
      <c r="D78" t="s">
        <v>112</v>
      </c>
      <c r="E78" s="197" t="s">
        <v>651</v>
      </c>
      <c r="F78" s="197">
        <v>14430</v>
      </c>
      <c r="G78" t="str">
        <f>LOOKUP(B78,ΠΕΡΙΦΕΡΕΙΑ!$A$2:$A$14,ΠΕΡΙΦΕΡΕΙΑ!$B$2:$B$14)</f>
        <v>Ολική</v>
      </c>
      <c r="H78" t="str">
        <f t="shared" si="7"/>
        <v/>
      </c>
      <c r="I78" t="e">
        <f t="shared" si="8"/>
        <v>#NUM!</v>
      </c>
      <c r="J78" t="str">
        <f t="shared" si="9"/>
        <v/>
      </c>
      <c r="K78" t="str">
        <f t="shared" si="10"/>
        <v/>
      </c>
      <c r="L78" s="163" t="s">
        <v>420</v>
      </c>
      <c r="M78" t="str">
        <f t="shared" si="6"/>
        <v/>
      </c>
      <c r="N78"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79" spans="1:14" x14ac:dyDescent="0.25">
      <c r="A79">
        <v>78</v>
      </c>
      <c r="B79" t="s">
        <v>40</v>
      </c>
      <c r="C79" t="s">
        <v>367</v>
      </c>
      <c r="D79" t="s">
        <v>73</v>
      </c>
      <c r="E79" s="197" t="s">
        <v>652</v>
      </c>
      <c r="F79" s="197">
        <v>14448</v>
      </c>
      <c r="G79" t="str">
        <f>LOOKUP(B79,ΠΕΡΙΦΕΡΕΙΑ!$A$2:$A$14,ΠΕΡΙΦΕΡΕΙΑ!$B$2:$B$14)</f>
        <v>Ολική</v>
      </c>
      <c r="H79" t="str">
        <f t="shared" si="7"/>
        <v/>
      </c>
      <c r="I79" t="e">
        <f t="shared" si="8"/>
        <v>#NUM!</v>
      </c>
      <c r="J79" t="str">
        <f t="shared" si="9"/>
        <v/>
      </c>
      <c r="K79" t="str">
        <f t="shared" si="10"/>
        <v/>
      </c>
      <c r="L79" s="163" t="s">
        <v>420</v>
      </c>
      <c r="M79" t="str">
        <f t="shared" si="6"/>
        <v/>
      </c>
      <c r="N79"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80" spans="1:14" x14ac:dyDescent="0.25">
      <c r="A80">
        <v>79</v>
      </c>
      <c r="B80" t="s">
        <v>40</v>
      </c>
      <c r="C80" t="s">
        <v>367</v>
      </c>
      <c r="D80" t="s">
        <v>74</v>
      </c>
      <c r="E80" s="197" t="s">
        <v>653</v>
      </c>
      <c r="F80" s="197">
        <v>14480</v>
      </c>
      <c r="G80" t="str">
        <f>LOOKUP(B80,ΠΕΡΙΦΕΡΕΙΑ!$A$2:$A$14,ΠΕΡΙΦΕΡΕΙΑ!$B$2:$B$14)</f>
        <v>Ολική</v>
      </c>
      <c r="H80" t="str">
        <f t="shared" si="7"/>
        <v/>
      </c>
      <c r="I80" t="e">
        <f t="shared" si="8"/>
        <v>#NUM!</v>
      </c>
      <c r="J80" t="str">
        <f t="shared" si="9"/>
        <v/>
      </c>
      <c r="K80" t="str">
        <f t="shared" si="10"/>
        <v/>
      </c>
      <c r="L80" s="163" t="s">
        <v>420</v>
      </c>
      <c r="M80" t="str">
        <f t="shared" si="6"/>
        <v/>
      </c>
      <c r="N80"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81" spans="1:14" x14ac:dyDescent="0.25">
      <c r="A81">
        <v>80</v>
      </c>
      <c r="B81" t="s">
        <v>40</v>
      </c>
      <c r="C81" t="s">
        <v>372</v>
      </c>
      <c r="D81" t="s">
        <v>113</v>
      </c>
      <c r="E81" s="197" t="s">
        <v>654</v>
      </c>
      <c r="F81" s="197">
        <v>14482</v>
      </c>
      <c r="G81" t="str">
        <f>LOOKUP(B81,ΠΕΡΙΦΕΡΕΙΑ!$A$2:$A$14,ΠΕΡΙΦΕΡΕΙΑ!$B$2:$B$14)</f>
        <v>Ολική</v>
      </c>
      <c r="H81" t="str">
        <f t="shared" si="7"/>
        <v/>
      </c>
      <c r="I81" t="e">
        <f t="shared" si="8"/>
        <v>#NUM!</v>
      </c>
      <c r="J81" t="str">
        <f t="shared" si="9"/>
        <v/>
      </c>
      <c r="K81" t="str">
        <f t="shared" si="10"/>
        <v/>
      </c>
      <c r="L81" s="163" t="s">
        <v>420</v>
      </c>
      <c r="M81" t="str">
        <f t="shared" si="6"/>
        <v/>
      </c>
      <c r="N81"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82" spans="1:14" x14ac:dyDescent="0.25">
      <c r="A82">
        <v>81</v>
      </c>
      <c r="B82" t="s">
        <v>40</v>
      </c>
      <c r="C82" t="s">
        <v>372</v>
      </c>
      <c r="D82" t="s">
        <v>114</v>
      </c>
      <c r="E82" s="197" t="s">
        <v>655</v>
      </c>
      <c r="F82" s="197">
        <v>14502</v>
      </c>
      <c r="G82" t="str">
        <f>LOOKUP(B82,ΠΕΡΙΦΕΡΕΙΑ!$A$2:$A$14,ΠΕΡΙΦΕΡΕΙΑ!$B$2:$B$14)</f>
        <v>Ολική</v>
      </c>
      <c r="H82" t="str">
        <f t="shared" si="7"/>
        <v/>
      </c>
      <c r="I82" t="e">
        <f t="shared" si="8"/>
        <v>#NUM!</v>
      </c>
      <c r="J82" t="str">
        <f t="shared" si="9"/>
        <v/>
      </c>
      <c r="K82" t="str">
        <f t="shared" si="10"/>
        <v/>
      </c>
      <c r="L82" s="163" t="s">
        <v>420</v>
      </c>
      <c r="M82" t="str">
        <f t="shared" si="6"/>
        <v/>
      </c>
      <c r="N82"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83" spans="1:14" x14ac:dyDescent="0.25">
      <c r="A83">
        <v>82</v>
      </c>
      <c r="B83" t="s">
        <v>40</v>
      </c>
      <c r="C83" t="s">
        <v>372</v>
      </c>
      <c r="D83" t="s">
        <v>115</v>
      </c>
      <c r="E83" s="197" t="s">
        <v>656</v>
      </c>
      <c r="F83" s="197">
        <v>14508</v>
      </c>
      <c r="G83" t="str">
        <f>LOOKUP(B83,ΠΕΡΙΦΕΡΕΙΑ!$A$2:$A$14,ΠΕΡΙΦΕΡΕΙΑ!$B$2:$B$14)</f>
        <v>Ολική</v>
      </c>
      <c r="H83" t="str">
        <f t="shared" si="7"/>
        <v/>
      </c>
      <c r="I83" t="e">
        <f t="shared" si="8"/>
        <v>#NUM!</v>
      </c>
      <c r="J83" t="str">
        <f t="shared" si="9"/>
        <v/>
      </c>
      <c r="K83" t="str">
        <f t="shared" si="10"/>
        <v/>
      </c>
      <c r="L83" s="163" t="s">
        <v>420</v>
      </c>
      <c r="M83" t="str">
        <f t="shared" si="6"/>
        <v/>
      </c>
      <c r="N83"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84" spans="1:14" x14ac:dyDescent="0.25">
      <c r="A84">
        <v>83</v>
      </c>
      <c r="B84" t="s">
        <v>40</v>
      </c>
      <c r="C84" t="s">
        <v>371</v>
      </c>
      <c r="D84" t="s">
        <v>107</v>
      </c>
      <c r="E84" s="197" t="s">
        <v>657</v>
      </c>
      <c r="F84" s="197">
        <v>14514</v>
      </c>
      <c r="G84" t="str">
        <f>LOOKUP(B84,ΠΕΡΙΦΕΡΕΙΑ!$A$2:$A$14,ΠΕΡΙΦΕΡΕΙΑ!$B$2:$B$14)</f>
        <v>Ολική</v>
      </c>
      <c r="H84" t="str">
        <f t="shared" si="7"/>
        <v/>
      </c>
      <c r="I84" t="e">
        <f t="shared" si="8"/>
        <v>#NUM!</v>
      </c>
      <c r="J84" t="str">
        <f t="shared" si="9"/>
        <v/>
      </c>
      <c r="K84" t="str">
        <f t="shared" si="10"/>
        <v/>
      </c>
      <c r="L84" s="163" t="s">
        <v>420</v>
      </c>
      <c r="M84" t="str">
        <f t="shared" si="6"/>
        <v/>
      </c>
      <c r="N84"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85" spans="1:14" x14ac:dyDescent="0.25">
      <c r="A85">
        <v>84</v>
      </c>
      <c r="B85" t="s">
        <v>40</v>
      </c>
      <c r="C85" t="s">
        <v>368</v>
      </c>
      <c r="D85" t="s">
        <v>86</v>
      </c>
      <c r="E85" s="197" t="s">
        <v>658</v>
      </c>
      <c r="F85" s="197">
        <v>14518</v>
      </c>
      <c r="G85" t="str">
        <f>LOOKUP(B85,ΠΕΡΙΦΕΡΕΙΑ!$A$2:$A$14,ΠΕΡΙΦΕΡΕΙΑ!$B$2:$B$14)</f>
        <v>Ολική</v>
      </c>
      <c r="H85" t="str">
        <f t="shared" si="7"/>
        <v/>
      </c>
      <c r="I85" t="e">
        <f t="shared" si="8"/>
        <v>#NUM!</v>
      </c>
      <c r="J85" t="str">
        <f t="shared" si="9"/>
        <v/>
      </c>
      <c r="K85" t="str">
        <f t="shared" si="10"/>
        <v/>
      </c>
      <c r="L85" s="163" t="s">
        <v>420</v>
      </c>
      <c r="M85" t="str">
        <f t="shared" si="6"/>
        <v/>
      </c>
      <c r="N85"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86" spans="1:14" x14ac:dyDescent="0.25">
      <c r="A86">
        <v>85</v>
      </c>
      <c r="B86" t="s">
        <v>40</v>
      </c>
      <c r="C86" t="s">
        <v>369</v>
      </c>
      <c r="D86" t="s">
        <v>92</v>
      </c>
      <c r="E86" s="197" t="s">
        <v>659</v>
      </c>
      <c r="F86" s="197">
        <v>14528</v>
      </c>
      <c r="G86" t="str">
        <f>LOOKUP(B86,ΠΕΡΙΦΕΡΕΙΑ!$A$2:$A$14,ΠΕΡΙΦΕΡΕΙΑ!$B$2:$B$14)</f>
        <v>Ολική</v>
      </c>
      <c r="H86" t="str">
        <f t="shared" si="7"/>
        <v/>
      </c>
      <c r="I86" t="e">
        <f t="shared" si="8"/>
        <v>#NUM!</v>
      </c>
      <c r="J86" t="str">
        <f t="shared" si="9"/>
        <v/>
      </c>
      <c r="K86" t="str">
        <f t="shared" si="10"/>
        <v/>
      </c>
      <c r="L86" s="163" t="s">
        <v>420</v>
      </c>
      <c r="M86" t="str">
        <f t="shared" si="6"/>
        <v/>
      </c>
      <c r="N86"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87" spans="1:14" x14ac:dyDescent="0.25">
      <c r="A87">
        <v>86</v>
      </c>
      <c r="B87" t="s">
        <v>40</v>
      </c>
      <c r="C87" t="s">
        <v>370</v>
      </c>
      <c r="D87" t="s">
        <v>99</v>
      </c>
      <c r="E87" s="197" t="s">
        <v>660</v>
      </c>
      <c r="F87" s="197">
        <v>14526</v>
      </c>
      <c r="G87" t="str">
        <f>LOOKUP(B87,ΠΕΡΙΦΕΡΕΙΑ!$A$2:$A$14,ΠΕΡΙΦΕΡΕΙΑ!$B$2:$B$14)</f>
        <v>Ολική</v>
      </c>
      <c r="H87" t="str">
        <f t="shared" si="7"/>
        <v/>
      </c>
      <c r="I87" t="e">
        <f t="shared" si="8"/>
        <v>#NUM!</v>
      </c>
      <c r="J87" t="str">
        <f t="shared" si="9"/>
        <v/>
      </c>
      <c r="K87" t="str">
        <f t="shared" si="10"/>
        <v/>
      </c>
      <c r="L87" s="163" t="s">
        <v>420</v>
      </c>
      <c r="M87" t="str">
        <f t="shared" si="6"/>
        <v/>
      </c>
      <c r="N87"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88" spans="1:14" x14ac:dyDescent="0.25">
      <c r="A88">
        <v>87</v>
      </c>
      <c r="B88" t="s">
        <v>40</v>
      </c>
      <c r="C88" t="s">
        <v>368</v>
      </c>
      <c r="D88" t="s">
        <v>87</v>
      </c>
      <c r="E88" s="197" t="s">
        <v>661</v>
      </c>
      <c r="F88" s="197">
        <v>14530</v>
      </c>
      <c r="G88" t="str">
        <f>LOOKUP(B88,ΠΕΡΙΦΕΡΕΙΑ!$A$2:$A$14,ΠΕΡΙΦΕΡΕΙΑ!$B$2:$B$14)</f>
        <v>Ολική</v>
      </c>
      <c r="H88" t="str">
        <f t="shared" si="7"/>
        <v/>
      </c>
      <c r="I88" t="e">
        <f t="shared" si="8"/>
        <v>#NUM!</v>
      </c>
      <c r="J88" t="str">
        <f t="shared" si="9"/>
        <v/>
      </c>
      <c r="K88" t="str">
        <f t="shared" si="10"/>
        <v/>
      </c>
      <c r="L88" s="163" t="s">
        <v>420</v>
      </c>
      <c r="M88" t="str">
        <f t="shared" si="6"/>
        <v/>
      </c>
      <c r="N88"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89" spans="1:14" x14ac:dyDescent="0.25">
      <c r="A89">
        <v>88</v>
      </c>
      <c r="B89" t="s">
        <v>40</v>
      </c>
      <c r="C89" t="s">
        <v>367</v>
      </c>
      <c r="D89" t="s">
        <v>75</v>
      </c>
      <c r="E89" s="197" t="s">
        <v>662</v>
      </c>
      <c r="F89" s="197">
        <v>14548</v>
      </c>
      <c r="G89" t="str">
        <f>LOOKUP(B89,ΠΕΡΙΦΕΡΕΙΑ!$A$2:$A$14,ΠΕΡΙΦΕΡΕΙΑ!$B$2:$B$14)</f>
        <v>Ολική</v>
      </c>
      <c r="H89" t="str">
        <f t="shared" si="7"/>
        <v/>
      </c>
      <c r="I89" t="e">
        <f t="shared" si="8"/>
        <v>#NUM!</v>
      </c>
      <c r="J89" t="str">
        <f t="shared" si="9"/>
        <v/>
      </c>
      <c r="K89" t="str">
        <f t="shared" si="10"/>
        <v/>
      </c>
      <c r="L89" s="163" t="s">
        <v>420</v>
      </c>
      <c r="M89" t="str">
        <f t="shared" si="6"/>
        <v/>
      </c>
      <c r="N89"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90" spans="1:14" x14ac:dyDescent="0.25">
      <c r="A90">
        <v>89</v>
      </c>
      <c r="B90" t="s">
        <v>404</v>
      </c>
      <c r="C90" t="s">
        <v>133</v>
      </c>
      <c r="D90" t="s">
        <v>132</v>
      </c>
      <c r="E90" s="197" t="s">
        <v>663</v>
      </c>
      <c r="F90" s="197">
        <v>13928</v>
      </c>
      <c r="G90" t="str">
        <f>LOOKUP(B90,ΠΕΡΙΦΕΡΕΙΑ!$A$2:$A$14,ΠΕΡΙΦΕΡΕΙΑ!$B$2:$B$14)</f>
        <v>Μερική</v>
      </c>
      <c r="H90">
        <f t="shared" si="7"/>
        <v>89</v>
      </c>
      <c r="I90" t="e">
        <f t="shared" si="8"/>
        <v>#NUM!</v>
      </c>
      <c r="J90" t="str">
        <f t="shared" si="9"/>
        <v/>
      </c>
      <c r="K90" t="str">
        <f t="shared" si="10"/>
        <v/>
      </c>
      <c r="L90" s="163" t="s">
        <v>420</v>
      </c>
      <c r="M90" t="str">
        <f t="shared" si="6"/>
        <v/>
      </c>
      <c r="N90"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91" spans="1:14" x14ac:dyDescent="0.25">
      <c r="A91">
        <v>90</v>
      </c>
      <c r="B91" t="s">
        <v>404</v>
      </c>
      <c r="C91" t="s">
        <v>129</v>
      </c>
      <c r="D91" t="s">
        <v>129</v>
      </c>
      <c r="E91" s="197" t="s">
        <v>664</v>
      </c>
      <c r="F91" s="197">
        <v>14148</v>
      </c>
      <c r="G91" t="str">
        <f>LOOKUP(B91,ΠΕΡΙΦΕΡΕΙΑ!$A$2:$A$14,ΠΕΡΙΦΕΡΕΙΑ!$B$2:$B$14)</f>
        <v>Μερική</v>
      </c>
      <c r="H91">
        <f t="shared" si="7"/>
        <v>90</v>
      </c>
      <c r="I91" t="e">
        <f t="shared" si="8"/>
        <v>#NUM!</v>
      </c>
      <c r="J91" t="str">
        <f t="shared" si="9"/>
        <v/>
      </c>
      <c r="K91" t="str">
        <f t="shared" si="10"/>
        <v/>
      </c>
      <c r="L91" s="163" t="s">
        <v>420</v>
      </c>
      <c r="M91" t="str">
        <f t="shared" si="6"/>
        <v/>
      </c>
      <c r="N91"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92" spans="1:14" x14ac:dyDescent="0.25">
      <c r="A92">
        <v>91</v>
      </c>
      <c r="B92" t="s">
        <v>404</v>
      </c>
      <c r="C92" t="s">
        <v>131</v>
      </c>
      <c r="D92" t="s">
        <v>131</v>
      </c>
      <c r="E92" s="197" t="s">
        <v>665</v>
      </c>
      <c r="F92" s="197">
        <v>14256</v>
      </c>
      <c r="G92" t="str">
        <f>LOOKUP(B92,ΠΕΡΙΦΕΡΕΙΑ!$A$2:$A$14,ΠΕΡΙΦΕΡΕΙΑ!$B$2:$B$14)</f>
        <v>Μερική</v>
      </c>
      <c r="H92">
        <f t="shared" si="7"/>
        <v>91</v>
      </c>
      <c r="I92" t="e">
        <f t="shared" si="8"/>
        <v>#NUM!</v>
      </c>
      <c r="J92" t="str">
        <f t="shared" si="9"/>
        <v/>
      </c>
      <c r="K92" t="str">
        <f t="shared" si="10"/>
        <v/>
      </c>
      <c r="L92" s="163" t="s">
        <v>420</v>
      </c>
      <c r="M92" t="str">
        <f t="shared" si="6"/>
        <v/>
      </c>
      <c r="N92"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93" spans="1:14" x14ac:dyDescent="0.25">
      <c r="A93">
        <v>92</v>
      </c>
      <c r="B93" t="s">
        <v>404</v>
      </c>
      <c r="C93" t="s">
        <v>133</v>
      </c>
      <c r="D93" t="s">
        <v>133</v>
      </c>
      <c r="E93" s="197" t="s">
        <v>666</v>
      </c>
      <c r="F93" s="197">
        <v>14240</v>
      </c>
      <c r="G93" t="str">
        <f>LOOKUP(B93,ΠΕΡΙΦΕΡΕΙΑ!$A$2:$A$14,ΠΕΡΙΦΕΡΕΙΑ!$B$2:$B$14)</f>
        <v>Μερική</v>
      </c>
      <c r="H93">
        <f t="shared" si="7"/>
        <v>92</v>
      </c>
      <c r="I93" t="e">
        <f t="shared" si="8"/>
        <v>#NUM!</v>
      </c>
      <c r="J93" t="str">
        <f t="shared" si="9"/>
        <v/>
      </c>
      <c r="K93" t="str">
        <f t="shared" si="10"/>
        <v/>
      </c>
      <c r="L93" s="163" t="s">
        <v>420</v>
      </c>
      <c r="M93" t="str">
        <f t="shared" si="6"/>
        <v/>
      </c>
      <c r="N93"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94" spans="1:14" x14ac:dyDescent="0.25">
      <c r="A94">
        <v>93</v>
      </c>
      <c r="B94" t="s">
        <v>404</v>
      </c>
      <c r="C94" t="s">
        <v>136</v>
      </c>
      <c r="D94" t="s">
        <v>135</v>
      </c>
      <c r="E94" s="197" t="s">
        <v>667</v>
      </c>
      <c r="F94" s="197">
        <v>14348</v>
      </c>
      <c r="G94" t="str">
        <f>LOOKUP(B94,ΠΕΡΙΦΕΡΕΙΑ!$A$2:$A$14,ΠΕΡΙΦΕΡΕΙΑ!$B$2:$B$14)</f>
        <v>Μερική</v>
      </c>
      <c r="H94">
        <f t="shared" si="7"/>
        <v>93</v>
      </c>
      <c r="I94" t="e">
        <f t="shared" si="8"/>
        <v>#NUM!</v>
      </c>
      <c r="J94" t="str">
        <f t="shared" si="9"/>
        <v/>
      </c>
      <c r="K94" t="str">
        <f t="shared" si="10"/>
        <v/>
      </c>
      <c r="L94" s="163" t="s">
        <v>420</v>
      </c>
      <c r="M94" t="str">
        <f t="shared" si="6"/>
        <v/>
      </c>
      <c r="N94"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95" spans="1:14" x14ac:dyDescent="0.25">
      <c r="A95">
        <v>94</v>
      </c>
      <c r="B95" t="s">
        <v>404</v>
      </c>
      <c r="C95" t="s">
        <v>134</v>
      </c>
      <c r="D95" t="s">
        <v>134</v>
      </c>
      <c r="E95" s="197" t="s">
        <v>668</v>
      </c>
      <c r="F95" s="197">
        <v>14446</v>
      </c>
      <c r="G95" t="str">
        <f>LOOKUP(B95,ΠΕΡΙΦΕΡΕΙΑ!$A$2:$A$14,ΠΕΡΙΦΕΡΕΙΑ!$B$2:$B$14)</f>
        <v>Μερική</v>
      </c>
      <c r="H95">
        <f t="shared" si="7"/>
        <v>94</v>
      </c>
      <c r="I95" t="e">
        <f t="shared" si="8"/>
        <v>#NUM!</v>
      </c>
      <c r="J95" t="str">
        <f t="shared" si="9"/>
        <v/>
      </c>
      <c r="K95" t="str">
        <f t="shared" si="10"/>
        <v/>
      </c>
      <c r="L95" s="163" t="s">
        <v>420</v>
      </c>
      <c r="M95" t="str">
        <f t="shared" si="6"/>
        <v/>
      </c>
      <c r="N95"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96" spans="1:14" x14ac:dyDescent="0.25">
      <c r="A96">
        <v>95</v>
      </c>
      <c r="B96" t="s">
        <v>404</v>
      </c>
      <c r="C96" t="s">
        <v>129</v>
      </c>
      <c r="D96" t="s">
        <v>130</v>
      </c>
      <c r="E96" s="197" t="s">
        <v>669</v>
      </c>
      <c r="F96" s="197">
        <v>14524</v>
      </c>
      <c r="G96" t="str">
        <f>LOOKUP(B96,ΠΕΡΙΦΕΡΕΙΑ!$A$2:$A$14,ΠΕΡΙΦΕΡΕΙΑ!$B$2:$B$14)</f>
        <v>Μερική</v>
      </c>
      <c r="H96">
        <f t="shared" si="7"/>
        <v>95</v>
      </c>
      <c r="I96" t="e">
        <f t="shared" si="8"/>
        <v>#NUM!</v>
      </c>
      <c r="J96" t="str">
        <f t="shared" si="9"/>
        <v/>
      </c>
      <c r="K96" t="str">
        <f t="shared" si="10"/>
        <v/>
      </c>
      <c r="L96" s="163" t="s">
        <v>420</v>
      </c>
      <c r="M96" t="str">
        <f t="shared" si="6"/>
        <v/>
      </c>
      <c r="N96"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97" spans="1:14" x14ac:dyDescent="0.25">
      <c r="A97">
        <v>96</v>
      </c>
      <c r="B97" t="s">
        <v>404</v>
      </c>
      <c r="C97" t="s">
        <v>136</v>
      </c>
      <c r="D97" t="s">
        <v>136</v>
      </c>
      <c r="E97" s="197" t="s">
        <v>670</v>
      </c>
      <c r="F97" s="197">
        <v>14542</v>
      </c>
      <c r="G97" t="str">
        <f>LOOKUP(B97,ΠΕΡΙΦΕΡΕΙΑ!$A$2:$A$14,ΠΕΡΙΦΕΡΕΙΑ!$B$2:$B$14)</f>
        <v>Μερική</v>
      </c>
      <c r="H97">
        <f t="shared" si="7"/>
        <v>96</v>
      </c>
      <c r="I97" t="e">
        <f t="shared" si="8"/>
        <v>#NUM!</v>
      </c>
      <c r="J97" t="str">
        <f t="shared" si="9"/>
        <v/>
      </c>
      <c r="K97" t="str">
        <f t="shared" si="10"/>
        <v/>
      </c>
      <c r="L97" s="163" t="s">
        <v>420</v>
      </c>
      <c r="M97" t="str">
        <f t="shared" si="6"/>
        <v/>
      </c>
      <c r="N97"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98" spans="1:14" x14ac:dyDescent="0.25">
      <c r="A98">
        <v>97</v>
      </c>
      <c r="B98" t="s">
        <v>404</v>
      </c>
      <c r="C98" t="s">
        <v>136</v>
      </c>
      <c r="D98" t="s">
        <v>137</v>
      </c>
      <c r="E98" s="197" t="s">
        <v>671</v>
      </c>
      <c r="F98" s="197">
        <v>14546</v>
      </c>
      <c r="G98" t="str">
        <f>LOOKUP(B98,ΠΕΡΙΦΕΡΕΙΑ!$A$2:$A$14,ΠΕΡΙΦΕΡΕΙΑ!$B$2:$B$14)</f>
        <v>Μερική</v>
      </c>
      <c r="H98">
        <f t="shared" si="7"/>
        <v>97</v>
      </c>
      <c r="I98" t="e">
        <f t="shared" si="8"/>
        <v>#NUM!</v>
      </c>
      <c r="J98" t="str">
        <f t="shared" si="9"/>
        <v/>
      </c>
      <c r="K98" t="str">
        <f t="shared" si="10"/>
        <v/>
      </c>
      <c r="L98" s="163" t="s">
        <v>420</v>
      </c>
      <c r="M98" t="str">
        <f t="shared" si="6"/>
        <v/>
      </c>
      <c r="N98"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99" spans="1:14" x14ac:dyDescent="0.25">
      <c r="A99">
        <v>98</v>
      </c>
      <c r="B99" t="s">
        <v>405</v>
      </c>
      <c r="C99" t="s">
        <v>374</v>
      </c>
      <c r="D99" t="s">
        <v>138</v>
      </c>
      <c r="E99" s="197" t="s">
        <v>672</v>
      </c>
      <c r="F99" s="197">
        <v>13942</v>
      </c>
      <c r="G99" t="str">
        <f>LOOKUP(B99,ΠΕΡΙΦΕΡΕΙΑ!$A$2:$A$14,ΠΕΡΙΦΕΡΕΙΑ!$B$2:$B$14)</f>
        <v>Ολική</v>
      </c>
      <c r="H99" t="str">
        <f t="shared" si="7"/>
        <v/>
      </c>
      <c r="I99" t="e">
        <f t="shared" si="8"/>
        <v>#NUM!</v>
      </c>
      <c r="J99" t="str">
        <f t="shared" si="9"/>
        <v/>
      </c>
      <c r="K99" t="str">
        <f t="shared" si="10"/>
        <v/>
      </c>
      <c r="L99" s="163" t="s">
        <v>420</v>
      </c>
      <c r="M99" t="str">
        <f t="shared" si="6"/>
        <v/>
      </c>
      <c r="N99"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00" spans="1:14" x14ac:dyDescent="0.25">
      <c r="A100">
        <v>99</v>
      </c>
      <c r="B100" t="s">
        <v>405</v>
      </c>
      <c r="C100" t="s">
        <v>375</v>
      </c>
      <c r="D100" t="s">
        <v>145</v>
      </c>
      <c r="E100" s="197" t="s">
        <v>673</v>
      </c>
      <c r="F100" s="197">
        <v>13904</v>
      </c>
      <c r="G100" t="str">
        <f>LOOKUP(B100,ΠΕΡΙΦΕΡΕΙΑ!$A$2:$A$14,ΠΕΡΙΦΕΡΕΙΑ!$B$2:$B$14)</f>
        <v>Ολική</v>
      </c>
      <c r="H100" t="str">
        <f t="shared" si="7"/>
        <v/>
      </c>
      <c r="I100" t="e">
        <f t="shared" si="8"/>
        <v>#NUM!</v>
      </c>
      <c r="J100" t="str">
        <f t="shared" si="9"/>
        <v/>
      </c>
      <c r="K100" t="str">
        <f t="shared" si="10"/>
        <v/>
      </c>
      <c r="L100" s="163" t="s">
        <v>420</v>
      </c>
      <c r="M100" t="str">
        <f t="shared" si="6"/>
        <v/>
      </c>
      <c r="N100"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01" spans="1:14" x14ac:dyDescent="0.25">
      <c r="A101">
        <v>100</v>
      </c>
      <c r="B101" t="s">
        <v>405</v>
      </c>
      <c r="C101" t="s">
        <v>374</v>
      </c>
      <c r="D101" t="s">
        <v>139</v>
      </c>
      <c r="E101" s="197" t="s">
        <v>674</v>
      </c>
      <c r="F101" s="197">
        <v>13950</v>
      </c>
      <c r="G101" t="str">
        <f>LOOKUP(B101,ΠΕΡΙΦΕΡΕΙΑ!$A$2:$A$14,ΠΕΡΙΦΕΡΕΙΑ!$B$2:$B$14)</f>
        <v>Ολική</v>
      </c>
      <c r="H101" t="str">
        <f t="shared" si="7"/>
        <v/>
      </c>
      <c r="I101" t="e">
        <f t="shared" si="8"/>
        <v>#NUM!</v>
      </c>
      <c r="J101" t="str">
        <f t="shared" si="9"/>
        <v/>
      </c>
      <c r="K101" t="str">
        <f t="shared" si="10"/>
        <v/>
      </c>
      <c r="L101" s="163" t="s">
        <v>420</v>
      </c>
      <c r="M101" t="str">
        <f t="shared" si="6"/>
        <v/>
      </c>
      <c r="N101"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02" spans="1:14" x14ac:dyDescent="0.25">
      <c r="A102">
        <v>101</v>
      </c>
      <c r="B102" t="s">
        <v>405</v>
      </c>
      <c r="C102" t="s">
        <v>374</v>
      </c>
      <c r="D102" t="s">
        <v>140</v>
      </c>
      <c r="E102" s="197" t="s">
        <v>675</v>
      </c>
      <c r="F102" s="197">
        <v>13974</v>
      </c>
      <c r="G102" t="str">
        <f>LOOKUP(B102,ΠΕΡΙΦΕΡΕΙΑ!$A$2:$A$14,ΠΕΡΙΦΕΡΕΙΑ!$B$2:$B$14)</f>
        <v>Ολική</v>
      </c>
      <c r="H102" t="str">
        <f t="shared" si="7"/>
        <v/>
      </c>
      <c r="I102" t="e">
        <f t="shared" si="8"/>
        <v>#NUM!</v>
      </c>
      <c r="J102" t="str">
        <f t="shared" si="9"/>
        <v/>
      </c>
      <c r="K102" t="str">
        <f t="shared" si="10"/>
        <v/>
      </c>
      <c r="L102" s="163" t="s">
        <v>420</v>
      </c>
      <c r="M102" t="str">
        <f t="shared" si="6"/>
        <v/>
      </c>
      <c r="N102"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03" spans="1:14" x14ac:dyDescent="0.25">
      <c r="A103">
        <v>102</v>
      </c>
      <c r="B103" t="s">
        <v>405</v>
      </c>
      <c r="C103" t="s">
        <v>376</v>
      </c>
      <c r="D103" t="s">
        <v>150</v>
      </c>
      <c r="E103" s="197" t="s">
        <v>676</v>
      </c>
      <c r="F103" s="197">
        <v>13984</v>
      </c>
      <c r="G103" t="str">
        <f>LOOKUP(B103,ΠΕΡΙΦΕΡΕΙΑ!$A$2:$A$14,ΠΕΡΙΦΕΡΕΙΑ!$B$2:$B$14)</f>
        <v>Ολική</v>
      </c>
      <c r="H103" t="str">
        <f t="shared" si="7"/>
        <v/>
      </c>
      <c r="I103" t="e">
        <f t="shared" si="8"/>
        <v>#NUM!</v>
      </c>
      <c r="J103" t="str">
        <f t="shared" si="9"/>
        <v/>
      </c>
      <c r="K103" t="str">
        <f t="shared" si="10"/>
        <v/>
      </c>
      <c r="L103" s="163" t="s">
        <v>420</v>
      </c>
      <c r="M103" t="str">
        <f t="shared" si="6"/>
        <v/>
      </c>
      <c r="N103"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04" spans="1:14" x14ac:dyDescent="0.25">
      <c r="A104">
        <v>103</v>
      </c>
      <c r="B104" t="s">
        <v>405</v>
      </c>
      <c r="C104" t="s">
        <v>376</v>
      </c>
      <c r="D104" t="s">
        <v>151</v>
      </c>
      <c r="E104" s="197" t="s">
        <v>677</v>
      </c>
      <c r="F104" s="197">
        <v>13982</v>
      </c>
      <c r="G104" t="str">
        <f>LOOKUP(B104,ΠΕΡΙΦΕΡΕΙΑ!$A$2:$A$14,ΠΕΡΙΦΕΡΕΙΑ!$B$2:$B$14)</f>
        <v>Ολική</v>
      </c>
      <c r="H104" t="str">
        <f t="shared" si="7"/>
        <v/>
      </c>
      <c r="I104" t="e">
        <f t="shared" si="8"/>
        <v>#NUM!</v>
      </c>
      <c r="J104" t="str">
        <f t="shared" si="9"/>
        <v/>
      </c>
      <c r="K104" t="str">
        <f t="shared" si="10"/>
        <v/>
      </c>
      <c r="L104" s="163" t="s">
        <v>420</v>
      </c>
      <c r="M104" t="str">
        <f t="shared" si="6"/>
        <v/>
      </c>
      <c r="N104"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05" spans="1:14" x14ac:dyDescent="0.25">
      <c r="A105">
        <v>104</v>
      </c>
      <c r="B105" t="s">
        <v>405</v>
      </c>
      <c r="C105" t="s">
        <v>376</v>
      </c>
      <c r="D105" t="s">
        <v>152</v>
      </c>
      <c r="E105" s="197" t="s">
        <v>678</v>
      </c>
      <c r="F105" s="197">
        <v>14000</v>
      </c>
      <c r="G105" t="str">
        <f>LOOKUP(B105,ΠΕΡΙΦΕΡΕΙΑ!$A$2:$A$14,ΠΕΡΙΦΕΡΕΙΑ!$B$2:$B$14)</f>
        <v>Ολική</v>
      </c>
      <c r="H105" t="str">
        <f t="shared" si="7"/>
        <v/>
      </c>
      <c r="I105" t="e">
        <f t="shared" si="8"/>
        <v>#NUM!</v>
      </c>
      <c r="J105" t="str">
        <f t="shared" si="9"/>
        <v/>
      </c>
      <c r="K105" t="str">
        <f t="shared" si="10"/>
        <v/>
      </c>
      <c r="L105" s="163" t="s">
        <v>420</v>
      </c>
      <c r="M105" t="str">
        <f t="shared" si="6"/>
        <v/>
      </c>
      <c r="N105"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06" spans="1:14" x14ac:dyDescent="0.25">
      <c r="A106">
        <v>105</v>
      </c>
      <c r="B106" t="s">
        <v>405</v>
      </c>
      <c r="C106" t="s">
        <v>375</v>
      </c>
      <c r="D106" t="s">
        <v>146</v>
      </c>
      <c r="E106" s="197" t="s">
        <v>679</v>
      </c>
      <c r="F106" s="197">
        <v>14072</v>
      </c>
      <c r="G106" t="str">
        <f>LOOKUP(B106,ΠΕΡΙΦΕΡΕΙΑ!$A$2:$A$14,ΠΕΡΙΦΕΡΕΙΑ!$B$2:$B$14)</f>
        <v>Ολική</v>
      </c>
      <c r="H106" t="str">
        <f t="shared" si="7"/>
        <v/>
      </c>
      <c r="I106" t="e">
        <f t="shared" si="8"/>
        <v>#NUM!</v>
      </c>
      <c r="J106" t="str">
        <f t="shared" si="9"/>
        <v/>
      </c>
      <c r="K106" t="str">
        <f t="shared" si="10"/>
        <v/>
      </c>
      <c r="L106" s="163" t="s">
        <v>420</v>
      </c>
      <c r="M106" t="str">
        <f t="shared" si="6"/>
        <v/>
      </c>
      <c r="N106"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07" spans="1:14" x14ac:dyDescent="0.25">
      <c r="A107">
        <v>106</v>
      </c>
      <c r="B107" t="s">
        <v>405</v>
      </c>
      <c r="C107" t="s">
        <v>375</v>
      </c>
      <c r="D107" t="s">
        <v>147</v>
      </c>
      <c r="E107" s="197" t="s">
        <v>680</v>
      </c>
      <c r="F107" s="197">
        <v>14098</v>
      </c>
      <c r="G107" t="str">
        <f>LOOKUP(B107,ΠΕΡΙΦΕΡΕΙΑ!$A$2:$A$14,ΠΕΡΙΦΕΡΕΙΑ!$B$2:$B$14)</f>
        <v>Ολική</v>
      </c>
      <c r="H107" t="str">
        <f t="shared" si="7"/>
        <v/>
      </c>
      <c r="I107" t="e">
        <f t="shared" si="8"/>
        <v>#NUM!</v>
      </c>
      <c r="J107" t="str">
        <f t="shared" si="9"/>
        <v/>
      </c>
      <c r="K107" t="str">
        <f t="shared" si="10"/>
        <v/>
      </c>
      <c r="L107" s="163" t="s">
        <v>420</v>
      </c>
      <c r="M107" t="str">
        <f t="shared" si="6"/>
        <v/>
      </c>
      <c r="N107"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08" spans="1:14" x14ac:dyDescent="0.25">
      <c r="A108">
        <v>107</v>
      </c>
      <c r="B108" t="s">
        <v>405</v>
      </c>
      <c r="C108" t="s">
        <v>376</v>
      </c>
      <c r="D108" t="s">
        <v>153</v>
      </c>
      <c r="E108" s="197" t="s">
        <v>681</v>
      </c>
      <c r="F108" s="197">
        <v>14110</v>
      </c>
      <c r="G108" t="str">
        <f>LOOKUP(B108,ΠΕΡΙΦΕΡΕΙΑ!$A$2:$A$14,ΠΕΡΙΦΕΡΕΙΑ!$B$2:$B$14)</f>
        <v>Ολική</v>
      </c>
      <c r="H108" t="str">
        <f t="shared" si="7"/>
        <v/>
      </c>
      <c r="I108" t="e">
        <f t="shared" si="8"/>
        <v>#NUM!</v>
      </c>
      <c r="J108" t="str">
        <f t="shared" si="9"/>
        <v/>
      </c>
      <c r="K108" t="str">
        <f t="shared" si="10"/>
        <v/>
      </c>
      <c r="L108" s="163" t="s">
        <v>420</v>
      </c>
      <c r="M108" t="str">
        <f t="shared" si="6"/>
        <v/>
      </c>
      <c r="N108"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09" spans="1:14" x14ac:dyDescent="0.25">
      <c r="A109">
        <v>108</v>
      </c>
      <c r="B109" t="s">
        <v>405</v>
      </c>
      <c r="C109" t="s">
        <v>376</v>
      </c>
      <c r="D109" t="s">
        <v>154</v>
      </c>
      <c r="E109" s="197" t="s">
        <v>682</v>
      </c>
      <c r="F109" s="197">
        <v>14118</v>
      </c>
      <c r="G109" t="str">
        <f>LOOKUP(B109,ΠΕΡΙΦΕΡΕΙΑ!$A$2:$A$14,ΠΕΡΙΦΕΡΕΙΑ!$B$2:$B$14)</f>
        <v>Ολική</v>
      </c>
      <c r="H109" t="str">
        <f t="shared" si="7"/>
        <v/>
      </c>
      <c r="I109" t="e">
        <f t="shared" si="8"/>
        <v>#NUM!</v>
      </c>
      <c r="J109" t="str">
        <f t="shared" si="9"/>
        <v/>
      </c>
      <c r="K109" t="str">
        <f t="shared" si="10"/>
        <v/>
      </c>
      <c r="L109" s="163" t="s">
        <v>420</v>
      </c>
      <c r="M109" t="str">
        <f t="shared" si="6"/>
        <v/>
      </c>
      <c r="N109"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10" spans="1:14" x14ac:dyDescent="0.25">
      <c r="A110">
        <v>109</v>
      </c>
      <c r="B110" t="s">
        <v>405</v>
      </c>
      <c r="C110" t="s">
        <v>374</v>
      </c>
      <c r="D110" t="s">
        <v>141</v>
      </c>
      <c r="E110" s="197" t="s">
        <v>683</v>
      </c>
      <c r="F110" s="197">
        <v>14136</v>
      </c>
      <c r="G110" t="str">
        <f>LOOKUP(B110,ΠΕΡΙΦΕΡΕΙΑ!$A$2:$A$14,ΠΕΡΙΦΕΡΕΙΑ!$B$2:$B$14)</f>
        <v>Ολική</v>
      </c>
      <c r="H110" t="str">
        <f t="shared" si="7"/>
        <v/>
      </c>
      <c r="I110" t="e">
        <f t="shared" si="8"/>
        <v>#NUM!</v>
      </c>
      <c r="J110" t="str">
        <f t="shared" si="9"/>
        <v/>
      </c>
      <c r="K110" t="str">
        <f t="shared" si="10"/>
        <v/>
      </c>
      <c r="L110" s="163" t="s">
        <v>420</v>
      </c>
      <c r="M110" t="str">
        <f t="shared" si="6"/>
        <v/>
      </c>
      <c r="N110"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11" spans="1:14" x14ac:dyDescent="0.25">
      <c r="A111">
        <v>110</v>
      </c>
      <c r="B111" t="s">
        <v>405</v>
      </c>
      <c r="C111" t="s">
        <v>374</v>
      </c>
      <c r="D111" t="s">
        <v>142</v>
      </c>
      <c r="E111" s="197" t="s">
        <v>684</v>
      </c>
      <c r="F111" s="197">
        <v>14142</v>
      </c>
      <c r="G111" t="str">
        <f>LOOKUP(B111,ΠΕΡΙΦΕΡΕΙΑ!$A$2:$A$14,ΠΕΡΙΦΕΡΕΙΑ!$B$2:$B$14)</f>
        <v>Ολική</v>
      </c>
      <c r="H111" t="str">
        <f t="shared" si="7"/>
        <v/>
      </c>
      <c r="I111" t="e">
        <f t="shared" si="8"/>
        <v>#NUM!</v>
      </c>
      <c r="J111" t="str">
        <f t="shared" si="9"/>
        <v/>
      </c>
      <c r="K111" t="str">
        <f t="shared" si="10"/>
        <v/>
      </c>
      <c r="L111" s="163" t="s">
        <v>420</v>
      </c>
      <c r="M111" t="str">
        <f t="shared" si="6"/>
        <v/>
      </c>
      <c r="N111"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12" spans="1:14" x14ac:dyDescent="0.25">
      <c r="A112">
        <v>111</v>
      </c>
      <c r="B112" t="s">
        <v>405</v>
      </c>
      <c r="C112" t="s">
        <v>375</v>
      </c>
      <c r="D112" t="s">
        <v>148</v>
      </c>
      <c r="E112" s="197" t="s">
        <v>685</v>
      </c>
      <c r="F112" s="197">
        <v>14174</v>
      </c>
      <c r="G112" t="str">
        <f>LOOKUP(B112,ΠΕΡΙΦΕΡΕΙΑ!$A$2:$A$14,ΠΕΡΙΦΕΡΕΙΑ!$B$2:$B$14)</f>
        <v>Ολική</v>
      </c>
      <c r="H112" t="str">
        <f t="shared" si="7"/>
        <v/>
      </c>
      <c r="I112" t="e">
        <f t="shared" si="8"/>
        <v>#NUM!</v>
      </c>
      <c r="J112" t="str">
        <f t="shared" si="9"/>
        <v/>
      </c>
      <c r="K112" t="str">
        <f t="shared" si="10"/>
        <v/>
      </c>
      <c r="L112" s="163" t="s">
        <v>420</v>
      </c>
      <c r="M112" t="str">
        <f t="shared" si="6"/>
        <v/>
      </c>
      <c r="N112"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13" spans="1:14" x14ac:dyDescent="0.25">
      <c r="A113">
        <v>112</v>
      </c>
      <c r="B113" t="s">
        <v>405</v>
      </c>
      <c r="C113" t="s">
        <v>374</v>
      </c>
      <c r="D113" t="s">
        <v>143</v>
      </c>
      <c r="E113" s="197" t="s">
        <v>686</v>
      </c>
      <c r="F113" s="197">
        <v>14312</v>
      </c>
      <c r="G113" t="str">
        <f>LOOKUP(B113,ΠΕΡΙΦΕΡΕΙΑ!$A$2:$A$14,ΠΕΡΙΦΕΡΕΙΑ!$B$2:$B$14)</f>
        <v>Ολική</v>
      </c>
      <c r="H113" t="str">
        <f t="shared" si="7"/>
        <v/>
      </c>
      <c r="I113" t="e">
        <f t="shared" si="8"/>
        <v>#NUM!</v>
      </c>
      <c r="J113" t="str">
        <f t="shared" si="9"/>
        <v/>
      </c>
      <c r="K113" t="str">
        <f t="shared" si="10"/>
        <v/>
      </c>
      <c r="L113" s="163" t="s">
        <v>420</v>
      </c>
      <c r="M113" t="str">
        <f t="shared" si="6"/>
        <v/>
      </c>
      <c r="N113"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14" spans="1:14" x14ac:dyDescent="0.25">
      <c r="A114">
        <v>113</v>
      </c>
      <c r="B114" t="s">
        <v>405</v>
      </c>
      <c r="C114" t="s">
        <v>374</v>
      </c>
      <c r="D114" t="s">
        <v>144</v>
      </c>
      <c r="E114" s="197" t="s">
        <v>687</v>
      </c>
      <c r="F114" s="197">
        <v>14344</v>
      </c>
      <c r="G114" t="str">
        <f>LOOKUP(B114,ΠΕΡΙΦΕΡΕΙΑ!$A$2:$A$14,ΠΕΡΙΦΕΡΕΙΑ!$B$2:$B$14)</f>
        <v>Ολική</v>
      </c>
      <c r="H114" t="str">
        <f t="shared" si="7"/>
        <v/>
      </c>
      <c r="I114" t="e">
        <f t="shared" si="8"/>
        <v>#NUM!</v>
      </c>
      <c r="J114" t="str">
        <f t="shared" si="9"/>
        <v/>
      </c>
      <c r="K114" t="str">
        <f t="shared" si="10"/>
        <v/>
      </c>
      <c r="L114" s="163" t="s">
        <v>420</v>
      </c>
      <c r="M114" t="str">
        <f t="shared" si="6"/>
        <v/>
      </c>
      <c r="N114"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15" spans="1:14" x14ac:dyDescent="0.25">
      <c r="A115">
        <v>114</v>
      </c>
      <c r="B115" t="s">
        <v>405</v>
      </c>
      <c r="C115" t="s">
        <v>375</v>
      </c>
      <c r="D115" t="s">
        <v>149</v>
      </c>
      <c r="E115" s="197" t="s">
        <v>688</v>
      </c>
      <c r="F115" s="197">
        <v>14366</v>
      </c>
      <c r="G115" t="str">
        <f>LOOKUP(B115,ΠΕΡΙΦΕΡΕΙΑ!$A$2:$A$14,ΠΕΡΙΦΕΡΕΙΑ!$B$2:$B$14)</f>
        <v>Ολική</v>
      </c>
      <c r="H115" t="str">
        <f t="shared" si="7"/>
        <v/>
      </c>
      <c r="I115" t="e">
        <f t="shared" si="8"/>
        <v>#NUM!</v>
      </c>
      <c r="J115" t="str">
        <f t="shared" si="9"/>
        <v/>
      </c>
      <c r="K115" t="str">
        <f t="shared" si="10"/>
        <v/>
      </c>
      <c r="L115" s="163" t="s">
        <v>420</v>
      </c>
      <c r="M115" t="str">
        <f t="shared" si="6"/>
        <v/>
      </c>
      <c r="N115"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16" spans="1:14" x14ac:dyDescent="0.25">
      <c r="A116">
        <v>115</v>
      </c>
      <c r="B116" t="s">
        <v>405</v>
      </c>
      <c r="C116" t="s">
        <v>376</v>
      </c>
      <c r="D116" t="s">
        <v>155</v>
      </c>
      <c r="E116" s="197" t="s">
        <v>689</v>
      </c>
      <c r="F116" s="197">
        <v>14410</v>
      </c>
      <c r="G116" t="str">
        <f>LOOKUP(B116,ΠΕΡΙΦΕΡΕΙΑ!$A$2:$A$14,ΠΕΡΙΦΕΡΕΙΑ!$B$2:$B$14)</f>
        <v>Ολική</v>
      </c>
      <c r="H116" t="str">
        <f t="shared" si="7"/>
        <v/>
      </c>
      <c r="I116" t="e">
        <f t="shared" si="8"/>
        <v>#NUM!</v>
      </c>
      <c r="J116" t="str">
        <f t="shared" si="9"/>
        <v/>
      </c>
      <c r="K116" t="str">
        <f t="shared" si="10"/>
        <v/>
      </c>
      <c r="L116" s="163" t="s">
        <v>420</v>
      </c>
      <c r="M116" t="str">
        <f t="shared" si="6"/>
        <v/>
      </c>
      <c r="N116"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17" spans="1:14" x14ac:dyDescent="0.25">
      <c r="A117">
        <v>116</v>
      </c>
      <c r="B117" t="s">
        <v>405</v>
      </c>
      <c r="C117" t="s">
        <v>376</v>
      </c>
      <c r="D117" t="s">
        <v>156</v>
      </c>
      <c r="E117" s="197" t="s">
        <v>690</v>
      </c>
      <c r="F117" s="197">
        <v>14376</v>
      </c>
      <c r="G117" t="str">
        <f>LOOKUP(B117,ΠΕΡΙΦΕΡΕΙΑ!$A$2:$A$14,ΠΕΡΙΦΕΡΕΙΑ!$B$2:$B$14)</f>
        <v>Ολική</v>
      </c>
      <c r="H117" t="str">
        <f t="shared" si="7"/>
        <v/>
      </c>
      <c r="I117" t="e">
        <f t="shared" si="8"/>
        <v>#NUM!</v>
      </c>
      <c r="J117" t="str">
        <f t="shared" si="9"/>
        <v/>
      </c>
      <c r="K117" t="str">
        <f t="shared" si="10"/>
        <v/>
      </c>
      <c r="L117" s="163" t="s">
        <v>420</v>
      </c>
      <c r="M117" t="str">
        <f t="shared" si="6"/>
        <v/>
      </c>
      <c r="N117"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18" spans="1:14" x14ac:dyDescent="0.25">
      <c r="A118">
        <v>117</v>
      </c>
      <c r="B118" t="s">
        <v>406</v>
      </c>
      <c r="C118" t="s">
        <v>168</v>
      </c>
      <c r="D118" t="s">
        <v>166</v>
      </c>
      <c r="E118" s="197" t="s">
        <v>691</v>
      </c>
      <c r="F118" s="197">
        <v>13970</v>
      </c>
      <c r="G118" t="str">
        <f>LOOKUP(B118,ΠΕΡΙΦΕΡΕΙΑ!$A$2:$A$14,ΠΕΡΙΦΕΡΕΙΑ!$B$2:$B$14)</f>
        <v>Ολική</v>
      </c>
      <c r="H118" t="str">
        <f t="shared" si="7"/>
        <v/>
      </c>
      <c r="I118" t="e">
        <f t="shared" si="8"/>
        <v>#NUM!</v>
      </c>
      <c r="J118" t="str">
        <f t="shared" si="9"/>
        <v/>
      </c>
      <c r="K118" t="str">
        <f t="shared" si="10"/>
        <v/>
      </c>
      <c r="L118" s="163" t="s">
        <v>420</v>
      </c>
      <c r="M118" t="str">
        <f t="shared" si="6"/>
        <v/>
      </c>
      <c r="N118"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19" spans="1:14" x14ac:dyDescent="0.25">
      <c r="A119">
        <v>118</v>
      </c>
      <c r="B119" t="s">
        <v>406</v>
      </c>
      <c r="C119" t="s">
        <v>164</v>
      </c>
      <c r="D119" t="s">
        <v>162</v>
      </c>
      <c r="E119" s="197" t="s">
        <v>692</v>
      </c>
      <c r="F119" s="197">
        <v>14028</v>
      </c>
      <c r="G119" t="str">
        <f>LOOKUP(B119,ΠΕΡΙΦΕΡΕΙΑ!$A$2:$A$14,ΠΕΡΙΦΕΡΕΙΑ!$B$2:$B$14)</f>
        <v>Ολική</v>
      </c>
      <c r="H119" t="str">
        <f t="shared" si="7"/>
        <v/>
      </c>
      <c r="I119" t="e">
        <f t="shared" si="8"/>
        <v>#NUM!</v>
      </c>
      <c r="J119" t="str">
        <f t="shared" si="9"/>
        <v/>
      </c>
      <c r="K119" t="str">
        <f t="shared" si="10"/>
        <v/>
      </c>
      <c r="L119" s="163" t="s">
        <v>420</v>
      </c>
      <c r="M119" t="str">
        <f t="shared" si="6"/>
        <v/>
      </c>
      <c r="N119"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20" spans="1:14" x14ac:dyDescent="0.25">
      <c r="A120">
        <v>119</v>
      </c>
      <c r="B120" t="s">
        <v>406</v>
      </c>
      <c r="C120" t="s">
        <v>157</v>
      </c>
      <c r="D120" t="s">
        <v>157</v>
      </c>
      <c r="E120" s="197" t="s">
        <v>693</v>
      </c>
      <c r="F120" s="197">
        <v>14038</v>
      </c>
      <c r="G120" t="str">
        <f>LOOKUP(B120,ΠΕΡΙΦΕΡΕΙΑ!$A$2:$A$14,ΠΕΡΙΦΕΡΕΙΑ!$B$2:$B$14)</f>
        <v>Ολική</v>
      </c>
      <c r="H120" t="str">
        <f t="shared" si="7"/>
        <v/>
      </c>
      <c r="I120" t="e">
        <f t="shared" si="8"/>
        <v>#NUM!</v>
      </c>
      <c r="J120" t="str">
        <f t="shared" si="9"/>
        <v/>
      </c>
      <c r="K120" t="str">
        <f t="shared" si="10"/>
        <v/>
      </c>
      <c r="L120" s="163" t="s">
        <v>420</v>
      </c>
      <c r="M120" t="str">
        <f t="shared" si="6"/>
        <v/>
      </c>
      <c r="N120"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21" spans="1:14" x14ac:dyDescent="0.25">
      <c r="A121">
        <v>120</v>
      </c>
      <c r="B121" t="s">
        <v>406</v>
      </c>
      <c r="C121" t="s">
        <v>157</v>
      </c>
      <c r="D121" t="s">
        <v>158</v>
      </c>
      <c r="E121" s="197" t="s">
        <v>694</v>
      </c>
      <c r="F121" s="197">
        <v>14054</v>
      </c>
      <c r="G121" t="str">
        <f>LOOKUP(B121,ΠΕΡΙΦΕΡΕΙΑ!$A$2:$A$14,ΠΕΡΙΦΕΡΕΙΑ!$B$2:$B$14)</f>
        <v>Ολική</v>
      </c>
      <c r="H121" t="str">
        <f t="shared" si="7"/>
        <v/>
      </c>
      <c r="I121" t="e">
        <f t="shared" si="8"/>
        <v>#NUM!</v>
      </c>
      <c r="J121" t="str">
        <f t="shared" si="9"/>
        <v/>
      </c>
      <c r="K121" t="str">
        <f t="shared" si="10"/>
        <v/>
      </c>
      <c r="L121" s="163" t="s">
        <v>420</v>
      </c>
      <c r="M121" t="str">
        <f t="shared" si="6"/>
        <v/>
      </c>
      <c r="N121"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22" spans="1:14" x14ac:dyDescent="0.25">
      <c r="A122">
        <v>121</v>
      </c>
      <c r="B122" t="s">
        <v>406</v>
      </c>
      <c r="C122" t="s">
        <v>164</v>
      </c>
      <c r="D122" t="s">
        <v>163</v>
      </c>
      <c r="E122" s="197" t="s">
        <v>695</v>
      </c>
      <c r="F122" s="197">
        <v>14090</v>
      </c>
      <c r="G122" t="str">
        <f>LOOKUP(B122,ΠΕΡΙΦΕΡΕΙΑ!$A$2:$A$14,ΠΕΡΙΦΕΡΕΙΑ!$B$2:$B$14)</f>
        <v>Ολική</v>
      </c>
      <c r="H122" t="str">
        <f t="shared" si="7"/>
        <v/>
      </c>
      <c r="I122" t="e">
        <f t="shared" si="8"/>
        <v>#NUM!</v>
      </c>
      <c r="J122" t="str">
        <f t="shared" si="9"/>
        <v/>
      </c>
      <c r="K122" t="str">
        <f t="shared" si="10"/>
        <v/>
      </c>
      <c r="L122" s="163" t="s">
        <v>420</v>
      </c>
      <c r="M122" t="str">
        <f t="shared" si="6"/>
        <v/>
      </c>
      <c r="N122"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23" spans="1:14" x14ac:dyDescent="0.25">
      <c r="A123">
        <v>122</v>
      </c>
      <c r="B123" t="s">
        <v>406</v>
      </c>
      <c r="C123" t="s">
        <v>159</v>
      </c>
      <c r="D123" t="s">
        <v>159</v>
      </c>
      <c r="E123" s="197" t="s">
        <v>696</v>
      </c>
      <c r="F123" s="197">
        <v>14160</v>
      </c>
      <c r="G123" t="str">
        <f>LOOKUP(B123,ΠΕΡΙΦΕΡΕΙΑ!$A$2:$A$14,ΠΕΡΙΦΕΡΕΙΑ!$B$2:$B$14)</f>
        <v>Ολική</v>
      </c>
      <c r="H123" t="str">
        <f t="shared" si="7"/>
        <v/>
      </c>
      <c r="I123" t="e">
        <f t="shared" si="8"/>
        <v>#NUM!</v>
      </c>
      <c r="J123" t="str">
        <f t="shared" si="9"/>
        <v/>
      </c>
      <c r="K123" t="str">
        <f t="shared" si="10"/>
        <v/>
      </c>
      <c r="L123" s="163" t="s">
        <v>420</v>
      </c>
      <c r="M123" t="str">
        <f t="shared" si="6"/>
        <v/>
      </c>
      <c r="N123"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24" spans="1:14" x14ac:dyDescent="0.25">
      <c r="A124">
        <v>123</v>
      </c>
      <c r="B124" t="s">
        <v>406</v>
      </c>
      <c r="C124" t="s">
        <v>164</v>
      </c>
      <c r="D124" t="s">
        <v>164</v>
      </c>
      <c r="E124" s="197" t="s">
        <v>697</v>
      </c>
      <c r="F124" s="197">
        <v>14218</v>
      </c>
      <c r="G124" t="str">
        <f>LOOKUP(B124,ΠΕΡΙΦΕΡΕΙΑ!$A$2:$A$14,ΠΕΡΙΦΕΡΕΙΑ!$B$2:$B$14)</f>
        <v>Ολική</v>
      </c>
      <c r="H124" t="str">
        <f t="shared" si="7"/>
        <v/>
      </c>
      <c r="I124" t="e">
        <f t="shared" si="8"/>
        <v>#NUM!</v>
      </c>
      <c r="J124" t="str">
        <f t="shared" si="9"/>
        <v/>
      </c>
      <c r="K124" t="str">
        <f t="shared" si="10"/>
        <v/>
      </c>
      <c r="L124" s="163" t="s">
        <v>420</v>
      </c>
      <c r="M124" t="str">
        <f t="shared" si="6"/>
        <v/>
      </c>
      <c r="N124"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25" spans="1:14" x14ac:dyDescent="0.25">
      <c r="A125">
        <v>124</v>
      </c>
      <c r="B125" t="s">
        <v>406</v>
      </c>
      <c r="C125" t="s">
        <v>159</v>
      </c>
      <c r="D125" t="s">
        <v>160</v>
      </c>
      <c r="E125" s="197" t="s">
        <v>698</v>
      </c>
      <c r="F125" s="197">
        <v>14324</v>
      </c>
      <c r="G125" t="str">
        <f>LOOKUP(B125,ΠΕΡΙΦΕΡΕΙΑ!$A$2:$A$14,ΠΕΡΙΦΕΡΕΙΑ!$B$2:$B$14)</f>
        <v>Ολική</v>
      </c>
      <c r="H125" t="str">
        <f t="shared" si="7"/>
        <v/>
      </c>
      <c r="I125" t="e">
        <f t="shared" si="8"/>
        <v>#NUM!</v>
      </c>
      <c r="J125" t="str">
        <f t="shared" si="9"/>
        <v/>
      </c>
      <c r="K125" t="str">
        <f t="shared" si="10"/>
        <v/>
      </c>
      <c r="L125" s="163" t="s">
        <v>420</v>
      </c>
      <c r="M125" t="str">
        <f t="shared" si="6"/>
        <v/>
      </c>
      <c r="N125"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26" spans="1:14" x14ac:dyDescent="0.25">
      <c r="A126">
        <v>125</v>
      </c>
      <c r="B126" t="s">
        <v>406</v>
      </c>
      <c r="C126" t="s">
        <v>159</v>
      </c>
      <c r="D126" t="s">
        <v>161</v>
      </c>
      <c r="E126" s="197" t="s">
        <v>699</v>
      </c>
      <c r="F126" s="197">
        <v>14354</v>
      </c>
      <c r="G126" t="str">
        <f>LOOKUP(B126,ΠΕΡΙΦΕΡΕΙΑ!$A$2:$A$14,ΠΕΡΙΦΕΡΕΙΑ!$B$2:$B$14)</f>
        <v>Ολική</v>
      </c>
      <c r="H126" t="str">
        <f t="shared" si="7"/>
        <v/>
      </c>
      <c r="I126" t="e">
        <f t="shared" si="8"/>
        <v>#NUM!</v>
      </c>
      <c r="J126" t="str">
        <f t="shared" si="9"/>
        <v/>
      </c>
      <c r="K126" t="str">
        <f t="shared" si="10"/>
        <v/>
      </c>
      <c r="L126" s="163" t="s">
        <v>420</v>
      </c>
      <c r="M126" t="str">
        <f t="shared" si="6"/>
        <v/>
      </c>
      <c r="N126"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27" spans="1:14" x14ac:dyDescent="0.25">
      <c r="A127">
        <v>126</v>
      </c>
      <c r="B127" t="s">
        <v>406</v>
      </c>
      <c r="C127" t="s">
        <v>168</v>
      </c>
      <c r="D127" t="s">
        <v>167</v>
      </c>
      <c r="E127" s="197" t="s">
        <v>700</v>
      </c>
      <c r="F127" s="197">
        <v>14372</v>
      </c>
      <c r="G127" t="str">
        <f>LOOKUP(B127,ΠΕΡΙΦΕΡΕΙΑ!$A$2:$A$14,ΠΕΡΙΦΕΡΕΙΑ!$B$2:$B$14)</f>
        <v>Ολική</v>
      </c>
      <c r="H127" t="str">
        <f t="shared" si="7"/>
        <v/>
      </c>
      <c r="I127" t="e">
        <f t="shared" si="8"/>
        <v>#NUM!</v>
      </c>
      <c r="J127" t="str">
        <f t="shared" si="9"/>
        <v/>
      </c>
      <c r="K127" t="str">
        <f t="shared" si="10"/>
        <v/>
      </c>
      <c r="L127" s="163" t="s">
        <v>420</v>
      </c>
      <c r="M127" t="str">
        <f t="shared" si="6"/>
        <v/>
      </c>
      <c r="N127"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28" spans="1:14" x14ac:dyDescent="0.25">
      <c r="A128">
        <v>127</v>
      </c>
      <c r="B128" t="s">
        <v>406</v>
      </c>
      <c r="C128" t="s">
        <v>164</v>
      </c>
      <c r="D128" t="s">
        <v>165</v>
      </c>
      <c r="E128" s="197" t="s">
        <v>701</v>
      </c>
      <c r="F128" s="197">
        <v>14438</v>
      </c>
      <c r="G128" t="str">
        <f>LOOKUP(B128,ΠΕΡΙΦΕΡΕΙΑ!$A$2:$A$14,ΠΕΡΙΦΕΡΕΙΑ!$B$2:$B$14)</f>
        <v>Ολική</v>
      </c>
      <c r="H128" t="str">
        <f t="shared" si="7"/>
        <v/>
      </c>
      <c r="I128" t="e">
        <f t="shared" si="8"/>
        <v>#NUM!</v>
      </c>
      <c r="J128" t="str">
        <f t="shared" si="9"/>
        <v/>
      </c>
      <c r="K128" t="str">
        <f t="shared" si="10"/>
        <v/>
      </c>
      <c r="L128" s="163" t="s">
        <v>420</v>
      </c>
      <c r="M128" t="str">
        <f t="shared" si="6"/>
        <v/>
      </c>
      <c r="N128"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29" spans="1:14" x14ac:dyDescent="0.25">
      <c r="A129">
        <v>128</v>
      </c>
      <c r="B129" t="s">
        <v>406</v>
      </c>
      <c r="C129" t="s">
        <v>168</v>
      </c>
      <c r="D129" t="s">
        <v>168</v>
      </c>
      <c r="E129" s="197" t="s">
        <v>702</v>
      </c>
      <c r="F129" s="197">
        <v>14520</v>
      </c>
      <c r="G129" t="str">
        <f>LOOKUP(B129,ΠΕΡΙΦΕΡΕΙΑ!$A$2:$A$14,ΠΕΡΙΦΕΡΕΙΑ!$B$2:$B$14)</f>
        <v>Ολική</v>
      </c>
      <c r="H129" t="str">
        <f t="shared" si="7"/>
        <v/>
      </c>
      <c r="I129" t="e">
        <f t="shared" si="8"/>
        <v>#NUM!</v>
      </c>
      <c r="J129" t="str">
        <f t="shared" si="9"/>
        <v/>
      </c>
      <c r="K129" t="str">
        <f t="shared" si="10"/>
        <v/>
      </c>
      <c r="L129" s="163" t="s">
        <v>420</v>
      </c>
      <c r="M129" t="str">
        <f t="shared" si="6"/>
        <v/>
      </c>
      <c r="N129"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30" spans="1:14" x14ac:dyDescent="0.25">
      <c r="A130">
        <v>129</v>
      </c>
      <c r="B130" t="s">
        <v>407</v>
      </c>
      <c r="C130" t="s">
        <v>377</v>
      </c>
      <c r="D130" t="s">
        <v>169</v>
      </c>
      <c r="E130" s="197" t="s">
        <v>703</v>
      </c>
      <c r="F130" s="197">
        <v>13998</v>
      </c>
      <c r="G130" t="str">
        <f>LOOKUP(B130,ΠΕΡΙΦΕΡΕΙΑ!$A$2:$A$14,ΠΕΡΙΦΕΡΕΙΑ!$B$2:$B$14)</f>
        <v>Ολική</v>
      </c>
      <c r="H130" t="str">
        <f t="shared" si="7"/>
        <v/>
      </c>
      <c r="I130" t="e">
        <f t="shared" si="8"/>
        <v>#NUM!</v>
      </c>
      <c r="J130" t="str">
        <f t="shared" si="9"/>
        <v/>
      </c>
      <c r="K130" t="str">
        <f t="shared" si="10"/>
        <v/>
      </c>
      <c r="L130" s="163" t="s">
        <v>420</v>
      </c>
      <c r="M130" t="str">
        <f t="shared" ref="M130:M193" si="12">IF(K130&lt;&gt;"",IF(L130="ΝΑΙ",J130&amp;" - "&amp;K130&amp;", ",""),"")</f>
        <v/>
      </c>
      <c r="N130"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31" spans="1:14" x14ac:dyDescent="0.25">
      <c r="A131">
        <v>130</v>
      </c>
      <c r="B131" t="s">
        <v>407</v>
      </c>
      <c r="C131" t="s">
        <v>379</v>
      </c>
      <c r="D131" t="s">
        <v>176</v>
      </c>
      <c r="E131" s="197" t="s">
        <v>704</v>
      </c>
      <c r="F131" s="197">
        <v>14022</v>
      </c>
      <c r="G131" t="str">
        <f>LOOKUP(B131,ΠΕΡΙΦΕΡΕΙΑ!$A$2:$A$14,ΠΕΡΙΦΕΡΕΙΑ!$B$2:$B$14)</f>
        <v>Ολική</v>
      </c>
      <c r="H131" t="str">
        <f t="shared" ref="H131:H194" si="13">IF(G131="Μερική",A131,"")</f>
        <v/>
      </c>
      <c r="I131" t="e">
        <f t="shared" ref="I131:I194" si="14">SMALL(H:H,A131)</f>
        <v>#NUM!</v>
      </c>
      <c r="J131" t="str">
        <f t="shared" ref="J131:J194" si="15">IF(ISNUMBER(I131),LOOKUP(I131,A:A,B:B),"")</f>
        <v/>
      </c>
      <c r="K131" t="str">
        <f t="shared" ref="K131:K194" si="16">IF(ISNUMBER(I131),LOOKUP(I131,A:A,D:D),"")</f>
        <v/>
      </c>
      <c r="L131" s="163" t="s">
        <v>420</v>
      </c>
      <c r="M131" t="str">
        <f t="shared" si="12"/>
        <v/>
      </c>
      <c r="N131" t="str">
        <f t="shared" si="11"/>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32" spans="1:14" x14ac:dyDescent="0.25">
      <c r="A132">
        <v>131</v>
      </c>
      <c r="B132" t="s">
        <v>407</v>
      </c>
      <c r="C132" t="s">
        <v>377</v>
      </c>
      <c r="D132" t="s">
        <v>170</v>
      </c>
      <c r="E132" s="197" t="s">
        <v>705</v>
      </c>
      <c r="F132" s="197">
        <v>14042</v>
      </c>
      <c r="G132" t="str">
        <f>LOOKUP(B132,ΠΕΡΙΦΕΡΕΙΑ!$A$2:$A$14,ΠΕΡΙΦΕΡΕΙΑ!$B$2:$B$14)</f>
        <v>Ολική</v>
      </c>
      <c r="H132" t="str">
        <f t="shared" si="13"/>
        <v/>
      </c>
      <c r="I132" t="e">
        <f t="shared" si="14"/>
        <v>#NUM!</v>
      </c>
      <c r="J132" t="str">
        <f t="shared" si="15"/>
        <v/>
      </c>
      <c r="K132" t="str">
        <f t="shared" si="16"/>
        <v/>
      </c>
      <c r="L132" s="163" t="s">
        <v>420</v>
      </c>
      <c r="M132" t="str">
        <f t="shared" si="12"/>
        <v/>
      </c>
      <c r="N132" t="str">
        <f t="shared" ref="N132:N195" si="17">N131&amp;M132</f>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33" spans="1:14" x14ac:dyDescent="0.25">
      <c r="A133">
        <v>132</v>
      </c>
      <c r="B133" t="s">
        <v>407</v>
      </c>
      <c r="C133" t="s">
        <v>379</v>
      </c>
      <c r="D133" t="s">
        <v>177</v>
      </c>
      <c r="E133" s="197" t="s">
        <v>706</v>
      </c>
      <c r="F133" s="197">
        <v>14076</v>
      </c>
      <c r="G133" t="str">
        <f>LOOKUP(B133,ΠΕΡΙΦΕΡΕΙΑ!$A$2:$A$14,ΠΕΡΙΦΕΡΕΙΑ!$B$2:$B$14)</f>
        <v>Ολική</v>
      </c>
      <c r="H133" t="str">
        <f t="shared" si="13"/>
        <v/>
      </c>
      <c r="I133" t="e">
        <f t="shared" si="14"/>
        <v>#NUM!</v>
      </c>
      <c r="J133" t="str">
        <f t="shared" si="15"/>
        <v/>
      </c>
      <c r="K133" t="str">
        <f t="shared" si="16"/>
        <v/>
      </c>
      <c r="L133" s="163" t="s">
        <v>420</v>
      </c>
      <c r="M133" t="str">
        <f t="shared" si="12"/>
        <v/>
      </c>
      <c r="N133"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34" spans="1:14" x14ac:dyDescent="0.25">
      <c r="A134">
        <v>133</v>
      </c>
      <c r="B134" t="s">
        <v>407</v>
      </c>
      <c r="C134" t="s">
        <v>379</v>
      </c>
      <c r="D134" t="s">
        <v>178</v>
      </c>
      <c r="E134" s="197" t="s">
        <v>707</v>
      </c>
      <c r="F134" s="197">
        <v>14104</v>
      </c>
      <c r="G134" t="str">
        <f>LOOKUP(B134,ΠΕΡΙΦΕΡΕΙΑ!$A$2:$A$14,ΠΕΡΙΦΕΡΕΙΑ!$B$2:$B$14)</f>
        <v>Ολική</v>
      </c>
      <c r="H134" t="str">
        <f t="shared" si="13"/>
        <v/>
      </c>
      <c r="I134" t="e">
        <f t="shared" si="14"/>
        <v>#NUM!</v>
      </c>
      <c r="J134" t="str">
        <f t="shared" si="15"/>
        <v/>
      </c>
      <c r="K134" t="str">
        <f t="shared" si="16"/>
        <v/>
      </c>
      <c r="L134" s="163" t="s">
        <v>420</v>
      </c>
      <c r="M134" t="str">
        <f t="shared" si="12"/>
        <v/>
      </c>
      <c r="N134"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35" spans="1:14" x14ac:dyDescent="0.25">
      <c r="A135">
        <v>134</v>
      </c>
      <c r="B135" t="s">
        <v>407</v>
      </c>
      <c r="C135" t="s">
        <v>186</v>
      </c>
      <c r="D135" t="s">
        <v>184</v>
      </c>
      <c r="E135" s="197" t="s">
        <v>708</v>
      </c>
      <c r="F135" s="197">
        <v>14112</v>
      </c>
      <c r="G135" t="str">
        <f>LOOKUP(B135,ΠΕΡΙΦΕΡΕΙΑ!$A$2:$A$14,ΠΕΡΙΦΕΡΕΙΑ!$B$2:$B$14)</f>
        <v>Ολική</v>
      </c>
      <c r="H135" t="str">
        <f t="shared" si="13"/>
        <v/>
      </c>
      <c r="I135" t="e">
        <f t="shared" si="14"/>
        <v>#NUM!</v>
      </c>
      <c r="J135" t="str">
        <f t="shared" si="15"/>
        <v/>
      </c>
      <c r="K135" t="str">
        <f t="shared" si="16"/>
        <v/>
      </c>
      <c r="L135" s="163" t="s">
        <v>420</v>
      </c>
      <c r="M135" t="str">
        <f t="shared" si="12"/>
        <v/>
      </c>
      <c r="N135"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36" spans="1:14" x14ac:dyDescent="0.25">
      <c r="A136">
        <v>135</v>
      </c>
      <c r="B136" t="s">
        <v>407</v>
      </c>
      <c r="C136" t="s">
        <v>379</v>
      </c>
      <c r="D136" t="s">
        <v>179</v>
      </c>
      <c r="E136" s="197" t="s">
        <v>709</v>
      </c>
      <c r="F136" s="197">
        <v>14114</v>
      </c>
      <c r="G136" t="str">
        <f>LOOKUP(B136,ΠΕΡΙΦΕΡΕΙΑ!$A$2:$A$14,ΠΕΡΙΦΕΡΕΙΑ!$B$2:$B$14)</f>
        <v>Ολική</v>
      </c>
      <c r="H136" t="str">
        <f t="shared" si="13"/>
        <v/>
      </c>
      <c r="I136" t="e">
        <f t="shared" si="14"/>
        <v>#NUM!</v>
      </c>
      <c r="J136" t="str">
        <f t="shared" si="15"/>
        <v/>
      </c>
      <c r="K136" t="str">
        <f t="shared" si="16"/>
        <v/>
      </c>
      <c r="L136" s="163" t="s">
        <v>420</v>
      </c>
      <c r="M136" t="str">
        <f t="shared" si="12"/>
        <v/>
      </c>
      <c r="N136"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37" spans="1:14" x14ac:dyDescent="0.25">
      <c r="A137">
        <v>136</v>
      </c>
      <c r="B137" t="s">
        <v>407</v>
      </c>
      <c r="C137" t="s">
        <v>378</v>
      </c>
      <c r="D137" t="s">
        <v>173</v>
      </c>
      <c r="E137" s="197" t="s">
        <v>710</v>
      </c>
      <c r="F137" s="197">
        <v>14106</v>
      </c>
      <c r="G137" t="str">
        <f>LOOKUP(B137,ΠΕΡΙΦΕΡΕΙΑ!$A$2:$A$14,ΠΕΡΙΦΕΡΕΙΑ!$B$2:$B$14)</f>
        <v>Ολική</v>
      </c>
      <c r="H137" t="str">
        <f t="shared" si="13"/>
        <v/>
      </c>
      <c r="I137" t="e">
        <f t="shared" si="14"/>
        <v>#NUM!</v>
      </c>
      <c r="J137" t="str">
        <f t="shared" si="15"/>
        <v/>
      </c>
      <c r="K137" t="str">
        <f t="shared" si="16"/>
        <v/>
      </c>
      <c r="L137" s="163" t="s">
        <v>420</v>
      </c>
      <c r="M137" t="str">
        <f t="shared" si="12"/>
        <v/>
      </c>
      <c r="N137"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38" spans="1:14" x14ac:dyDescent="0.25">
      <c r="A138">
        <v>137</v>
      </c>
      <c r="B138" t="s">
        <v>407</v>
      </c>
      <c r="C138" t="s">
        <v>379</v>
      </c>
      <c r="D138" t="s">
        <v>180</v>
      </c>
      <c r="E138" s="197" t="s">
        <v>711</v>
      </c>
      <c r="F138" s="197">
        <v>14154</v>
      </c>
      <c r="G138" t="str">
        <f>LOOKUP(B138,ΠΕΡΙΦΕΡΕΙΑ!$A$2:$A$14,ΠΕΡΙΦΕΡΕΙΑ!$B$2:$B$14)</f>
        <v>Ολική</v>
      </c>
      <c r="H138" t="str">
        <f t="shared" si="13"/>
        <v/>
      </c>
      <c r="I138" t="e">
        <f t="shared" si="14"/>
        <v>#NUM!</v>
      </c>
      <c r="J138" t="str">
        <f t="shared" si="15"/>
        <v/>
      </c>
      <c r="K138" t="str">
        <f t="shared" si="16"/>
        <v/>
      </c>
      <c r="L138" s="163" t="s">
        <v>420</v>
      </c>
      <c r="M138" t="str">
        <f t="shared" si="12"/>
        <v/>
      </c>
      <c r="N138"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39" spans="1:14" x14ac:dyDescent="0.25">
      <c r="A139">
        <v>138</v>
      </c>
      <c r="B139" t="s">
        <v>407</v>
      </c>
      <c r="C139" t="s">
        <v>377</v>
      </c>
      <c r="D139" t="s">
        <v>171</v>
      </c>
      <c r="E139" s="197" t="s">
        <v>712</v>
      </c>
      <c r="F139" s="197">
        <v>14162</v>
      </c>
      <c r="G139" t="str">
        <f>LOOKUP(B139,ΠΕΡΙΦΕΡΕΙΑ!$A$2:$A$14,ΠΕΡΙΦΕΡΕΙΑ!$B$2:$B$14)</f>
        <v>Ολική</v>
      </c>
      <c r="H139" t="str">
        <f t="shared" si="13"/>
        <v/>
      </c>
      <c r="I139" t="e">
        <f t="shared" si="14"/>
        <v>#NUM!</v>
      </c>
      <c r="J139" t="str">
        <f t="shared" si="15"/>
        <v/>
      </c>
      <c r="K139" t="str">
        <f t="shared" si="16"/>
        <v/>
      </c>
      <c r="L139" s="163" t="s">
        <v>420</v>
      </c>
      <c r="M139" t="str">
        <f t="shared" si="12"/>
        <v/>
      </c>
      <c r="N139"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40" spans="1:14" x14ac:dyDescent="0.25">
      <c r="A140">
        <v>139</v>
      </c>
      <c r="B140" t="s">
        <v>407</v>
      </c>
      <c r="C140" t="s">
        <v>379</v>
      </c>
      <c r="D140" t="s">
        <v>181</v>
      </c>
      <c r="E140" s="197" t="s">
        <v>713</v>
      </c>
      <c r="F140" s="197">
        <v>14222</v>
      </c>
      <c r="G140" t="str">
        <f>LOOKUP(B140,ΠΕΡΙΦΕΡΕΙΑ!$A$2:$A$14,ΠΕΡΙΦΕΡΕΙΑ!$B$2:$B$14)</f>
        <v>Ολική</v>
      </c>
      <c r="H140" t="str">
        <f t="shared" si="13"/>
        <v/>
      </c>
      <c r="I140" t="e">
        <f t="shared" si="14"/>
        <v>#NUM!</v>
      </c>
      <c r="J140" t="str">
        <f t="shared" si="15"/>
        <v/>
      </c>
      <c r="K140" t="str">
        <f t="shared" si="16"/>
        <v/>
      </c>
      <c r="L140" s="163" t="s">
        <v>420</v>
      </c>
      <c r="M140" t="str">
        <f t="shared" si="12"/>
        <v/>
      </c>
      <c r="N140"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41" spans="1:14" x14ac:dyDescent="0.25">
      <c r="A141">
        <v>140</v>
      </c>
      <c r="B141" t="s">
        <v>407</v>
      </c>
      <c r="C141" t="s">
        <v>379</v>
      </c>
      <c r="D141" t="s">
        <v>182</v>
      </c>
      <c r="E141" s="197" t="s">
        <v>714</v>
      </c>
      <c r="F141" s="197">
        <v>14294</v>
      </c>
      <c r="G141" t="str">
        <f>LOOKUP(B141,ΠΕΡΙΦΕΡΕΙΑ!$A$2:$A$14,ΠΕΡΙΦΕΡΕΙΑ!$B$2:$B$14)</f>
        <v>Ολική</v>
      </c>
      <c r="H141" t="str">
        <f t="shared" si="13"/>
        <v/>
      </c>
      <c r="I141" t="e">
        <f t="shared" si="14"/>
        <v>#NUM!</v>
      </c>
      <c r="J141" t="str">
        <f t="shared" si="15"/>
        <v/>
      </c>
      <c r="K141" t="str">
        <f t="shared" si="16"/>
        <v/>
      </c>
      <c r="L141" s="163" t="s">
        <v>420</v>
      </c>
      <c r="M141" t="str">
        <f t="shared" si="12"/>
        <v/>
      </c>
      <c r="N141"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42" spans="1:14" x14ac:dyDescent="0.25">
      <c r="A142">
        <v>141</v>
      </c>
      <c r="B142" t="s">
        <v>407</v>
      </c>
      <c r="C142" t="s">
        <v>377</v>
      </c>
      <c r="D142" t="s">
        <v>172</v>
      </c>
      <c r="E142" s="197" t="s">
        <v>715</v>
      </c>
      <c r="F142" s="197">
        <v>14326</v>
      </c>
      <c r="G142" t="str">
        <f>LOOKUP(B142,ΠΕΡΙΦΕΡΕΙΑ!$A$2:$A$14,ΠΕΡΙΦΕΡΕΙΑ!$B$2:$B$14)</f>
        <v>Ολική</v>
      </c>
      <c r="H142" t="str">
        <f t="shared" si="13"/>
        <v/>
      </c>
      <c r="I142" t="e">
        <f t="shared" si="14"/>
        <v>#NUM!</v>
      </c>
      <c r="J142" t="str">
        <f t="shared" si="15"/>
        <v/>
      </c>
      <c r="K142" t="str">
        <f t="shared" si="16"/>
        <v/>
      </c>
      <c r="L142" s="163" t="s">
        <v>420</v>
      </c>
      <c r="M142" t="str">
        <f t="shared" si="12"/>
        <v/>
      </c>
      <c r="N142"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43" spans="1:14" x14ac:dyDescent="0.25">
      <c r="A143">
        <v>142</v>
      </c>
      <c r="B143" t="s">
        <v>407</v>
      </c>
      <c r="C143" t="s">
        <v>186</v>
      </c>
      <c r="D143" t="s">
        <v>185</v>
      </c>
      <c r="E143" s="197" t="s">
        <v>716</v>
      </c>
      <c r="F143" s="197">
        <v>14398</v>
      </c>
      <c r="G143" t="str">
        <f>LOOKUP(B143,ΠΕΡΙΦΕΡΕΙΑ!$A$2:$A$14,ΠΕΡΙΦΕΡΕΙΑ!$B$2:$B$14)</f>
        <v>Ολική</v>
      </c>
      <c r="H143" t="str">
        <f t="shared" si="13"/>
        <v/>
      </c>
      <c r="I143" t="e">
        <f t="shared" si="14"/>
        <v>#NUM!</v>
      </c>
      <c r="J143" t="str">
        <f t="shared" si="15"/>
        <v/>
      </c>
      <c r="K143" t="str">
        <f t="shared" si="16"/>
        <v/>
      </c>
      <c r="L143" s="163" t="s">
        <v>420</v>
      </c>
      <c r="M143" t="str">
        <f t="shared" si="12"/>
        <v/>
      </c>
      <c r="N143"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44" spans="1:14" x14ac:dyDescent="0.25">
      <c r="A144">
        <v>143</v>
      </c>
      <c r="B144" t="s">
        <v>407</v>
      </c>
      <c r="C144" t="s">
        <v>186</v>
      </c>
      <c r="D144" t="s">
        <v>186</v>
      </c>
      <c r="E144" s="197" t="s">
        <v>717</v>
      </c>
      <c r="F144" s="197">
        <v>14418</v>
      </c>
      <c r="G144" t="str">
        <f>LOOKUP(B144,ΠΕΡΙΦΕΡΕΙΑ!$A$2:$A$14,ΠΕΡΙΦΕΡΕΙΑ!$B$2:$B$14)</f>
        <v>Ολική</v>
      </c>
      <c r="H144" t="str">
        <f t="shared" si="13"/>
        <v/>
      </c>
      <c r="I144" t="e">
        <f t="shared" si="14"/>
        <v>#NUM!</v>
      </c>
      <c r="J144" t="str">
        <f t="shared" si="15"/>
        <v/>
      </c>
      <c r="K144" t="str">
        <f t="shared" si="16"/>
        <v/>
      </c>
      <c r="L144" s="163" t="s">
        <v>420</v>
      </c>
      <c r="M144" t="str">
        <f t="shared" si="12"/>
        <v/>
      </c>
      <c r="N144"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45" spans="1:14" x14ac:dyDescent="0.25">
      <c r="A145">
        <v>144</v>
      </c>
      <c r="B145" t="s">
        <v>407</v>
      </c>
      <c r="C145" t="s">
        <v>379</v>
      </c>
      <c r="D145" t="s">
        <v>183</v>
      </c>
      <c r="E145" s="197" t="s">
        <v>718</v>
      </c>
      <c r="F145" s="197">
        <v>14378</v>
      </c>
      <c r="G145" t="str">
        <f>LOOKUP(B145,ΠΕΡΙΦΕΡΕΙΑ!$A$2:$A$14,ΠΕΡΙΦΕΡΕΙΑ!$B$2:$B$14)</f>
        <v>Ολική</v>
      </c>
      <c r="H145" t="str">
        <f t="shared" si="13"/>
        <v/>
      </c>
      <c r="I145" t="e">
        <f t="shared" si="14"/>
        <v>#NUM!</v>
      </c>
      <c r="J145" t="str">
        <f t="shared" si="15"/>
        <v/>
      </c>
      <c r="K145" t="str">
        <f t="shared" si="16"/>
        <v/>
      </c>
      <c r="L145" s="163" t="s">
        <v>420</v>
      </c>
      <c r="M145" t="str">
        <f t="shared" si="12"/>
        <v/>
      </c>
      <c r="N145"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46" spans="1:14" x14ac:dyDescent="0.25">
      <c r="A146">
        <v>145</v>
      </c>
      <c r="B146" t="s">
        <v>407</v>
      </c>
      <c r="C146" t="s">
        <v>378</v>
      </c>
      <c r="D146" t="s">
        <v>174</v>
      </c>
      <c r="E146" s="197" t="s">
        <v>719</v>
      </c>
      <c r="F146" s="197">
        <v>14468</v>
      </c>
      <c r="G146" t="str">
        <f>LOOKUP(B146,ΠΕΡΙΦΕΡΕΙΑ!$A$2:$A$14,ΠΕΡΙΦΕΡΕΙΑ!$B$2:$B$14)</f>
        <v>Ολική</v>
      </c>
      <c r="H146" t="str">
        <f t="shared" si="13"/>
        <v/>
      </c>
      <c r="I146" t="e">
        <f t="shared" si="14"/>
        <v>#NUM!</v>
      </c>
      <c r="J146" t="str">
        <f t="shared" si="15"/>
        <v/>
      </c>
      <c r="K146" t="str">
        <f t="shared" si="16"/>
        <v/>
      </c>
      <c r="L146" s="163" t="s">
        <v>420</v>
      </c>
      <c r="M146" t="str">
        <f t="shared" si="12"/>
        <v/>
      </c>
      <c r="N146"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47" spans="1:14" x14ac:dyDescent="0.25">
      <c r="A147">
        <v>146</v>
      </c>
      <c r="B147" t="s">
        <v>407</v>
      </c>
      <c r="C147" t="s">
        <v>378</v>
      </c>
      <c r="D147" t="s">
        <v>175</v>
      </c>
      <c r="E147" s="197" t="s">
        <v>720</v>
      </c>
      <c r="F147" s="197">
        <v>14516</v>
      </c>
      <c r="G147" t="str">
        <f>LOOKUP(B147,ΠΕΡΙΦΕΡΕΙΑ!$A$2:$A$14,ΠΕΡΙΦΕΡΕΙΑ!$B$2:$B$14)</f>
        <v>Ολική</v>
      </c>
      <c r="H147" t="str">
        <f t="shared" si="13"/>
        <v/>
      </c>
      <c r="I147" t="e">
        <f t="shared" si="14"/>
        <v>#NUM!</v>
      </c>
      <c r="J147" t="str">
        <f t="shared" si="15"/>
        <v/>
      </c>
      <c r="K147" t="str">
        <f t="shared" si="16"/>
        <v/>
      </c>
      <c r="L147" s="163" t="s">
        <v>420</v>
      </c>
      <c r="M147" t="str">
        <f t="shared" si="12"/>
        <v/>
      </c>
      <c r="N147"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48" spans="1:14" x14ac:dyDescent="0.25">
      <c r="A148">
        <v>147</v>
      </c>
      <c r="B148" t="s">
        <v>408</v>
      </c>
      <c r="C148" t="s">
        <v>380</v>
      </c>
      <c r="D148" t="s">
        <v>193</v>
      </c>
      <c r="E148" s="197" t="s">
        <v>721</v>
      </c>
      <c r="F148" s="197">
        <v>13938</v>
      </c>
      <c r="G148" t="str">
        <f>LOOKUP(B148,ΠΕΡΙΦΕΡΕΙΑ!$A$2:$A$14,ΠΕΡΙΦΕΡΕΙΑ!$B$2:$B$14)</f>
        <v>Ολική</v>
      </c>
      <c r="H148" t="str">
        <f t="shared" si="13"/>
        <v/>
      </c>
      <c r="I148" t="e">
        <f t="shared" si="14"/>
        <v>#NUM!</v>
      </c>
      <c r="J148" t="str">
        <f t="shared" si="15"/>
        <v/>
      </c>
      <c r="K148" t="str">
        <f t="shared" si="16"/>
        <v/>
      </c>
      <c r="L148" s="163" t="s">
        <v>420</v>
      </c>
      <c r="M148" t="str">
        <f t="shared" si="12"/>
        <v/>
      </c>
      <c r="N148"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49" spans="1:14" x14ac:dyDescent="0.25">
      <c r="A149">
        <v>148</v>
      </c>
      <c r="B149" t="s">
        <v>408</v>
      </c>
      <c r="C149" t="s">
        <v>381</v>
      </c>
      <c r="D149" t="s">
        <v>200</v>
      </c>
      <c r="E149" s="197" t="s">
        <v>722</v>
      </c>
      <c r="F149" s="197">
        <v>13958</v>
      </c>
      <c r="G149" t="str">
        <f>LOOKUP(B149,ΠΕΡΙΦΕΡΕΙΑ!$A$2:$A$14,ΠΕΡΙΦΕΡΕΙΑ!$B$2:$B$14)</f>
        <v>Ολική</v>
      </c>
      <c r="H149" t="str">
        <f t="shared" si="13"/>
        <v/>
      </c>
      <c r="I149" t="e">
        <f t="shared" si="14"/>
        <v>#NUM!</v>
      </c>
      <c r="J149" t="str">
        <f t="shared" si="15"/>
        <v/>
      </c>
      <c r="K149" t="str">
        <f t="shared" si="16"/>
        <v/>
      </c>
      <c r="L149" s="163" t="s">
        <v>420</v>
      </c>
      <c r="M149" t="str">
        <f t="shared" si="12"/>
        <v/>
      </c>
      <c r="N149"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50" spans="1:14" x14ac:dyDescent="0.25">
      <c r="A150">
        <v>149</v>
      </c>
      <c r="B150" t="s">
        <v>408</v>
      </c>
      <c r="C150" t="s">
        <v>382</v>
      </c>
      <c r="D150" t="s">
        <v>205</v>
      </c>
      <c r="E150" s="197" t="s">
        <v>723</v>
      </c>
      <c r="F150" s="197">
        <v>13960</v>
      </c>
      <c r="G150" t="str">
        <f>LOOKUP(B150,ΠΕΡΙΦΕΡΕΙΑ!$A$2:$A$14,ΠΕΡΙΦΕΡΕΙΑ!$B$2:$B$14)</f>
        <v>Ολική</v>
      </c>
      <c r="H150" t="str">
        <f t="shared" si="13"/>
        <v/>
      </c>
      <c r="I150" t="e">
        <f t="shared" si="14"/>
        <v>#NUM!</v>
      </c>
      <c r="J150" t="str">
        <f t="shared" si="15"/>
        <v/>
      </c>
      <c r="K150" t="str">
        <f t="shared" si="16"/>
        <v/>
      </c>
      <c r="L150" s="163" t="s">
        <v>420</v>
      </c>
      <c r="M150" t="str">
        <f t="shared" si="12"/>
        <v/>
      </c>
      <c r="N150"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51" spans="1:14" x14ac:dyDescent="0.25">
      <c r="A151">
        <v>150</v>
      </c>
      <c r="B151" t="s">
        <v>408</v>
      </c>
      <c r="C151" t="s">
        <v>188</v>
      </c>
      <c r="D151" t="s">
        <v>187</v>
      </c>
      <c r="E151" s="197" t="s">
        <v>724</v>
      </c>
      <c r="F151" s="197">
        <v>13992</v>
      </c>
      <c r="G151" t="str">
        <f>LOOKUP(B151,ΠΕΡΙΦΕΡΕΙΑ!$A$2:$A$14,ΠΕΡΙΦΕΡΕΙΑ!$B$2:$B$14)</f>
        <v>Ολική</v>
      </c>
      <c r="H151" t="str">
        <f t="shared" si="13"/>
        <v/>
      </c>
      <c r="I151" t="e">
        <f t="shared" si="14"/>
        <v>#NUM!</v>
      </c>
      <c r="J151" t="str">
        <f t="shared" si="15"/>
        <v/>
      </c>
      <c r="K151" t="str">
        <f t="shared" si="16"/>
        <v/>
      </c>
      <c r="L151" s="163" t="s">
        <v>420</v>
      </c>
      <c r="M151" t="str">
        <f t="shared" si="12"/>
        <v/>
      </c>
      <c r="N151"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52" spans="1:14" x14ac:dyDescent="0.25">
      <c r="A152">
        <v>151</v>
      </c>
      <c r="B152" t="s">
        <v>408</v>
      </c>
      <c r="C152" t="s">
        <v>381</v>
      </c>
      <c r="D152" t="s">
        <v>201</v>
      </c>
      <c r="E152" s="197" t="s">
        <v>725</v>
      </c>
      <c r="F152" s="197">
        <v>14034</v>
      </c>
      <c r="G152" t="str">
        <f>LOOKUP(B152,ΠΕΡΙΦΕΡΕΙΑ!$A$2:$A$14,ΠΕΡΙΦΕΡΕΙΑ!$B$2:$B$14)</f>
        <v>Ολική</v>
      </c>
      <c r="H152" t="str">
        <f t="shared" si="13"/>
        <v/>
      </c>
      <c r="I152" t="e">
        <f t="shared" si="14"/>
        <v>#NUM!</v>
      </c>
      <c r="J152" t="str">
        <f t="shared" si="15"/>
        <v/>
      </c>
      <c r="K152" t="str">
        <f t="shared" si="16"/>
        <v/>
      </c>
      <c r="L152" s="163" t="s">
        <v>420</v>
      </c>
      <c r="M152" t="str">
        <f t="shared" si="12"/>
        <v/>
      </c>
      <c r="N152"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53" spans="1:14" x14ac:dyDescent="0.25">
      <c r="A153">
        <v>152</v>
      </c>
      <c r="B153" t="s">
        <v>408</v>
      </c>
      <c r="C153" t="s">
        <v>380</v>
      </c>
      <c r="D153" t="s">
        <v>194</v>
      </c>
      <c r="E153" s="197" t="s">
        <v>726</v>
      </c>
      <c r="F153" s="197">
        <v>14082</v>
      </c>
      <c r="G153" t="str">
        <f>LOOKUP(B153,ΠΕΡΙΦΕΡΕΙΑ!$A$2:$A$14,ΠΕΡΙΦΕΡΕΙΑ!$B$2:$B$14)</f>
        <v>Ολική</v>
      </c>
      <c r="H153" t="str">
        <f t="shared" si="13"/>
        <v/>
      </c>
      <c r="I153" t="e">
        <f t="shared" si="14"/>
        <v>#NUM!</v>
      </c>
      <c r="J153" t="str">
        <f t="shared" si="15"/>
        <v/>
      </c>
      <c r="K153" t="str">
        <f t="shared" si="16"/>
        <v/>
      </c>
      <c r="L153" s="163" t="s">
        <v>420</v>
      </c>
      <c r="M153" t="str">
        <f t="shared" si="12"/>
        <v/>
      </c>
      <c r="N153"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54" spans="1:14" x14ac:dyDescent="0.25">
      <c r="A154">
        <v>153</v>
      </c>
      <c r="B154" t="s">
        <v>408</v>
      </c>
      <c r="C154" t="s">
        <v>381</v>
      </c>
      <c r="D154" t="s">
        <v>202</v>
      </c>
      <c r="E154" s="197" t="s">
        <v>727</v>
      </c>
      <c r="F154" s="197">
        <v>14102</v>
      </c>
      <c r="G154" t="str">
        <f>LOOKUP(B154,ΠΕΡΙΦΕΡΕΙΑ!$A$2:$A$14,ΠΕΡΙΦΕΡΕΙΑ!$B$2:$B$14)</f>
        <v>Ολική</v>
      </c>
      <c r="H154" t="str">
        <f t="shared" si="13"/>
        <v/>
      </c>
      <c r="I154" t="e">
        <f t="shared" si="14"/>
        <v>#NUM!</v>
      </c>
      <c r="J154" t="str">
        <f t="shared" si="15"/>
        <v/>
      </c>
      <c r="K154" t="str">
        <f t="shared" si="16"/>
        <v/>
      </c>
      <c r="L154" s="163" t="s">
        <v>420</v>
      </c>
      <c r="M154" t="str">
        <f t="shared" si="12"/>
        <v/>
      </c>
      <c r="N154"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55" spans="1:14" x14ac:dyDescent="0.25">
      <c r="A155">
        <v>154</v>
      </c>
      <c r="B155" t="s">
        <v>408</v>
      </c>
      <c r="C155" t="s">
        <v>383</v>
      </c>
      <c r="D155" t="s">
        <v>208</v>
      </c>
      <c r="E155" s="197" t="s">
        <v>728</v>
      </c>
      <c r="F155" s="197">
        <v>14182</v>
      </c>
      <c r="G155" t="str">
        <f>LOOKUP(B155,ΠΕΡΙΦΕΡΕΙΑ!$A$2:$A$14,ΠΕΡΙΦΕΡΕΙΑ!$B$2:$B$14)</f>
        <v>Ολική</v>
      </c>
      <c r="H155" t="str">
        <f t="shared" si="13"/>
        <v/>
      </c>
      <c r="I155" t="e">
        <f t="shared" si="14"/>
        <v>#NUM!</v>
      </c>
      <c r="J155" t="str">
        <f t="shared" si="15"/>
        <v/>
      </c>
      <c r="K155" t="str">
        <f t="shared" si="16"/>
        <v/>
      </c>
      <c r="L155" s="163" t="s">
        <v>420</v>
      </c>
      <c r="M155" t="str">
        <f t="shared" si="12"/>
        <v/>
      </c>
      <c r="N155"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56" spans="1:14" x14ac:dyDescent="0.25">
      <c r="A156">
        <v>155</v>
      </c>
      <c r="B156" t="s">
        <v>408</v>
      </c>
      <c r="C156" t="s">
        <v>188</v>
      </c>
      <c r="D156" t="s">
        <v>188</v>
      </c>
      <c r="E156" s="197" t="s">
        <v>729</v>
      </c>
      <c r="F156" s="197">
        <v>14188</v>
      </c>
      <c r="G156" t="str">
        <f>LOOKUP(B156,ΠΕΡΙΦΕΡΕΙΑ!$A$2:$A$14,ΠΕΡΙΦΕΡΕΙΑ!$B$2:$B$14)</f>
        <v>Ολική</v>
      </c>
      <c r="H156" t="str">
        <f t="shared" si="13"/>
        <v/>
      </c>
      <c r="I156" t="e">
        <f t="shared" si="14"/>
        <v>#NUM!</v>
      </c>
      <c r="J156" t="str">
        <f t="shared" si="15"/>
        <v/>
      </c>
      <c r="K156" t="str">
        <f t="shared" si="16"/>
        <v/>
      </c>
      <c r="L156" s="163" t="s">
        <v>420</v>
      </c>
      <c r="M156" t="str">
        <f t="shared" si="12"/>
        <v/>
      </c>
      <c r="N156"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57" spans="1:14" x14ac:dyDescent="0.25">
      <c r="A157">
        <v>156</v>
      </c>
      <c r="B157" t="s">
        <v>408</v>
      </c>
      <c r="C157" t="s">
        <v>380</v>
      </c>
      <c r="D157" t="s">
        <v>195</v>
      </c>
      <c r="E157" s="197" t="s">
        <v>730</v>
      </c>
      <c r="F157" s="197">
        <v>14210</v>
      </c>
      <c r="G157" t="str">
        <f>LOOKUP(B157,ΠΕΡΙΦΕΡΕΙΑ!$A$2:$A$14,ΠΕΡΙΦΕΡΕΙΑ!$B$2:$B$14)</f>
        <v>Ολική</v>
      </c>
      <c r="H157" t="str">
        <f t="shared" si="13"/>
        <v/>
      </c>
      <c r="I157" t="e">
        <f t="shared" si="14"/>
        <v>#NUM!</v>
      </c>
      <c r="J157" t="str">
        <f t="shared" si="15"/>
        <v/>
      </c>
      <c r="K157" t="str">
        <f t="shared" si="16"/>
        <v/>
      </c>
      <c r="L157" s="163" t="s">
        <v>420</v>
      </c>
      <c r="M157" t="str">
        <f t="shared" si="12"/>
        <v/>
      </c>
      <c r="N157"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58" spans="1:14" x14ac:dyDescent="0.25">
      <c r="A158">
        <v>157</v>
      </c>
      <c r="B158" t="s">
        <v>408</v>
      </c>
      <c r="C158" t="s">
        <v>380</v>
      </c>
      <c r="D158" t="s">
        <v>196</v>
      </c>
      <c r="E158" s="197" t="s">
        <v>731</v>
      </c>
      <c r="F158" s="197">
        <v>14246</v>
      </c>
      <c r="G158" t="str">
        <f>LOOKUP(B158,ΠΕΡΙΦΕΡΕΙΑ!$A$2:$A$14,ΠΕΡΙΦΕΡΕΙΑ!$B$2:$B$14)</f>
        <v>Ολική</v>
      </c>
      <c r="H158" t="str">
        <f t="shared" si="13"/>
        <v/>
      </c>
      <c r="I158" t="e">
        <f t="shared" si="14"/>
        <v>#NUM!</v>
      </c>
      <c r="J158" t="str">
        <f t="shared" si="15"/>
        <v/>
      </c>
      <c r="K158" t="str">
        <f t="shared" si="16"/>
        <v/>
      </c>
      <c r="L158" s="163" t="s">
        <v>420</v>
      </c>
      <c r="M158" t="str">
        <f t="shared" si="12"/>
        <v/>
      </c>
      <c r="N158"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59" spans="1:14" x14ac:dyDescent="0.25">
      <c r="A159">
        <v>158</v>
      </c>
      <c r="B159" t="s">
        <v>408</v>
      </c>
      <c r="C159" t="s">
        <v>188</v>
      </c>
      <c r="D159" t="s">
        <v>189</v>
      </c>
      <c r="E159" s="197" t="s">
        <v>732</v>
      </c>
      <c r="F159" s="197">
        <v>14258</v>
      </c>
      <c r="G159" t="str">
        <f>LOOKUP(B159,ΠΕΡΙΦΕΡΕΙΑ!$A$2:$A$14,ΠΕΡΙΦΕΡΕΙΑ!$B$2:$B$14)</f>
        <v>Ολική</v>
      </c>
      <c r="H159" t="str">
        <f t="shared" si="13"/>
        <v/>
      </c>
      <c r="I159" t="e">
        <f t="shared" si="14"/>
        <v>#NUM!</v>
      </c>
      <c r="J159" t="str">
        <f t="shared" si="15"/>
        <v/>
      </c>
      <c r="K159" t="str">
        <f t="shared" si="16"/>
        <v/>
      </c>
      <c r="L159" s="163" t="s">
        <v>420</v>
      </c>
      <c r="M159" t="str">
        <f t="shared" si="12"/>
        <v/>
      </c>
      <c r="N159"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60" spans="1:14" x14ac:dyDescent="0.25">
      <c r="A160">
        <v>159</v>
      </c>
      <c r="B160" t="s">
        <v>408</v>
      </c>
      <c r="C160" t="s">
        <v>188</v>
      </c>
      <c r="D160" t="s">
        <v>190</v>
      </c>
      <c r="E160" s="197" t="s">
        <v>733</v>
      </c>
      <c r="F160" s="197">
        <v>14302</v>
      </c>
      <c r="G160" t="str">
        <f>LOOKUP(B160,ΠΕΡΙΦΕΡΕΙΑ!$A$2:$A$14,ΠΕΡΙΦΕΡΕΙΑ!$B$2:$B$14)</f>
        <v>Ολική</v>
      </c>
      <c r="H160" t="str">
        <f t="shared" si="13"/>
        <v/>
      </c>
      <c r="I160" t="e">
        <f t="shared" si="14"/>
        <v>#NUM!</v>
      </c>
      <c r="J160" t="str">
        <f t="shared" si="15"/>
        <v/>
      </c>
      <c r="K160" t="str">
        <f t="shared" si="16"/>
        <v/>
      </c>
      <c r="L160" s="163" t="s">
        <v>420</v>
      </c>
      <c r="M160" t="str">
        <f t="shared" si="12"/>
        <v/>
      </c>
      <c r="N160"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61" spans="1:14" x14ac:dyDescent="0.25">
      <c r="A161">
        <v>160</v>
      </c>
      <c r="B161" t="s">
        <v>408</v>
      </c>
      <c r="C161" t="s">
        <v>381</v>
      </c>
      <c r="D161" t="s">
        <v>203</v>
      </c>
      <c r="E161" s="197" t="s">
        <v>734</v>
      </c>
      <c r="F161" s="197">
        <v>14342</v>
      </c>
      <c r="G161" t="str">
        <f>LOOKUP(B161,ΠΕΡΙΦΕΡΕΙΑ!$A$2:$A$14,ΠΕΡΙΦΕΡΕΙΑ!$B$2:$B$14)</f>
        <v>Ολική</v>
      </c>
      <c r="H161" t="str">
        <f t="shared" si="13"/>
        <v/>
      </c>
      <c r="I161" t="e">
        <f t="shared" si="14"/>
        <v>#NUM!</v>
      </c>
      <c r="J161" t="str">
        <f t="shared" si="15"/>
        <v/>
      </c>
      <c r="K161" t="str">
        <f t="shared" si="16"/>
        <v/>
      </c>
      <c r="L161" s="163" t="s">
        <v>420</v>
      </c>
      <c r="M161" t="str">
        <f t="shared" si="12"/>
        <v/>
      </c>
      <c r="N161"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62" spans="1:14" x14ac:dyDescent="0.25">
      <c r="A162">
        <v>161</v>
      </c>
      <c r="B162" t="s">
        <v>408</v>
      </c>
      <c r="C162" t="s">
        <v>188</v>
      </c>
      <c r="D162" t="s">
        <v>191</v>
      </c>
      <c r="E162" s="197" t="s">
        <v>735</v>
      </c>
      <c r="F162" s="197">
        <v>14388</v>
      </c>
      <c r="G162" t="str">
        <f>LOOKUP(B162,ΠΕΡΙΦΕΡΕΙΑ!$A$2:$A$14,ΠΕΡΙΦΕΡΕΙΑ!$B$2:$B$14)</f>
        <v>Ολική</v>
      </c>
      <c r="H162" t="str">
        <f t="shared" si="13"/>
        <v/>
      </c>
      <c r="I162" t="e">
        <f t="shared" si="14"/>
        <v>#NUM!</v>
      </c>
      <c r="J162" t="str">
        <f t="shared" si="15"/>
        <v/>
      </c>
      <c r="K162" t="str">
        <f t="shared" si="16"/>
        <v/>
      </c>
      <c r="L162" s="163" t="s">
        <v>420</v>
      </c>
      <c r="M162" t="str">
        <f t="shared" si="12"/>
        <v/>
      </c>
      <c r="N162"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63" spans="1:14" x14ac:dyDescent="0.25">
      <c r="A163">
        <v>162</v>
      </c>
      <c r="B163" t="s">
        <v>408</v>
      </c>
      <c r="C163" t="s">
        <v>383</v>
      </c>
      <c r="D163" t="s">
        <v>209</v>
      </c>
      <c r="E163" s="197" t="s">
        <v>736</v>
      </c>
      <c r="F163" s="197">
        <v>14374</v>
      </c>
      <c r="G163" t="str">
        <f>LOOKUP(B163,ΠΕΡΙΦΕΡΕΙΑ!$A$2:$A$14,ΠΕΡΙΦΕΡΕΙΑ!$B$2:$B$14)</f>
        <v>Ολική</v>
      </c>
      <c r="H163" t="str">
        <f t="shared" si="13"/>
        <v/>
      </c>
      <c r="I163" t="e">
        <f t="shared" si="14"/>
        <v>#NUM!</v>
      </c>
      <c r="J163" t="str">
        <f t="shared" si="15"/>
        <v/>
      </c>
      <c r="K163" t="str">
        <f t="shared" si="16"/>
        <v/>
      </c>
      <c r="L163" s="163" t="s">
        <v>420</v>
      </c>
      <c r="M163" t="str">
        <f t="shared" si="12"/>
        <v/>
      </c>
      <c r="N163"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64" spans="1:14" x14ac:dyDescent="0.25">
      <c r="A164">
        <v>163</v>
      </c>
      <c r="B164" t="s">
        <v>408</v>
      </c>
      <c r="C164" t="s">
        <v>381</v>
      </c>
      <c r="D164" t="s">
        <v>204</v>
      </c>
      <c r="E164" s="197" t="s">
        <v>737</v>
      </c>
      <c r="F164" s="197">
        <v>14434</v>
      </c>
      <c r="G164" t="str">
        <f>LOOKUP(B164,ΠΕΡΙΦΕΡΕΙΑ!$A$2:$A$14,ΠΕΡΙΦΕΡΕΙΑ!$B$2:$B$14)</f>
        <v>Ολική</v>
      </c>
      <c r="H164" t="str">
        <f t="shared" si="13"/>
        <v/>
      </c>
      <c r="I164" t="e">
        <f t="shared" si="14"/>
        <v>#NUM!</v>
      </c>
      <c r="J164" t="str">
        <f t="shared" si="15"/>
        <v/>
      </c>
      <c r="K164" t="str">
        <f t="shared" si="16"/>
        <v/>
      </c>
      <c r="L164" s="163" t="s">
        <v>420</v>
      </c>
      <c r="M164" t="str">
        <f t="shared" si="12"/>
        <v/>
      </c>
      <c r="N164"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65" spans="1:14" x14ac:dyDescent="0.25">
      <c r="A165">
        <v>164</v>
      </c>
      <c r="B165" t="s">
        <v>408</v>
      </c>
      <c r="C165" t="s">
        <v>382</v>
      </c>
      <c r="D165" t="s">
        <v>206</v>
      </c>
      <c r="E165" s="197" t="s">
        <v>738</v>
      </c>
      <c r="F165" s="197">
        <v>14466</v>
      </c>
      <c r="G165" t="str">
        <f>LOOKUP(B165,ΠΕΡΙΦΕΡΕΙΑ!$A$2:$A$14,ΠΕΡΙΦΕΡΕΙΑ!$B$2:$B$14)</f>
        <v>Ολική</v>
      </c>
      <c r="H165" t="str">
        <f t="shared" si="13"/>
        <v/>
      </c>
      <c r="I165" t="e">
        <f t="shared" si="14"/>
        <v>#NUM!</v>
      </c>
      <c r="J165" t="str">
        <f t="shared" si="15"/>
        <v/>
      </c>
      <c r="K165" t="str">
        <f t="shared" si="16"/>
        <v/>
      </c>
      <c r="L165" s="163" t="s">
        <v>420</v>
      </c>
      <c r="M165" t="str">
        <f t="shared" si="12"/>
        <v/>
      </c>
      <c r="N165"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66" spans="1:14" x14ac:dyDescent="0.25">
      <c r="A166">
        <v>165</v>
      </c>
      <c r="B166" t="s">
        <v>408</v>
      </c>
      <c r="C166" t="s">
        <v>382</v>
      </c>
      <c r="D166" t="s">
        <v>207</v>
      </c>
      <c r="E166" s="197" t="s">
        <v>739</v>
      </c>
      <c r="F166" s="197">
        <v>14440</v>
      </c>
      <c r="G166" t="str">
        <f>LOOKUP(B166,ΠΕΡΙΦΕΡΕΙΑ!$A$2:$A$14,ΠΕΡΙΦΕΡΕΙΑ!$B$2:$B$14)</f>
        <v>Ολική</v>
      </c>
      <c r="H166" t="str">
        <f t="shared" si="13"/>
        <v/>
      </c>
      <c r="I166" t="e">
        <f t="shared" si="14"/>
        <v>#NUM!</v>
      </c>
      <c r="J166" t="str">
        <f t="shared" si="15"/>
        <v/>
      </c>
      <c r="K166" t="str">
        <f t="shared" si="16"/>
        <v/>
      </c>
      <c r="L166" s="163" t="s">
        <v>420</v>
      </c>
      <c r="M166" t="str">
        <f t="shared" si="12"/>
        <v/>
      </c>
      <c r="N166"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67" spans="1:14" x14ac:dyDescent="0.25">
      <c r="A167">
        <v>166</v>
      </c>
      <c r="B167" t="s">
        <v>408</v>
      </c>
      <c r="C167" t="s">
        <v>188</v>
      </c>
      <c r="D167" t="s">
        <v>192</v>
      </c>
      <c r="E167" s="197" t="s">
        <v>740</v>
      </c>
      <c r="F167" s="197">
        <v>14476</v>
      </c>
      <c r="G167" t="str">
        <f>LOOKUP(B167,ΠΕΡΙΦΕΡΕΙΑ!$A$2:$A$14,ΠΕΡΙΦΕΡΕΙΑ!$B$2:$B$14)</f>
        <v>Ολική</v>
      </c>
      <c r="H167" t="str">
        <f t="shared" si="13"/>
        <v/>
      </c>
      <c r="I167" t="e">
        <f t="shared" si="14"/>
        <v>#NUM!</v>
      </c>
      <c r="J167" t="str">
        <f t="shared" si="15"/>
        <v/>
      </c>
      <c r="K167" t="str">
        <f t="shared" si="16"/>
        <v/>
      </c>
      <c r="L167" s="163" t="s">
        <v>420</v>
      </c>
      <c r="M167" t="str">
        <f t="shared" si="12"/>
        <v/>
      </c>
      <c r="N167"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68" spans="1:14" x14ac:dyDescent="0.25">
      <c r="A168">
        <v>167</v>
      </c>
      <c r="B168" t="s">
        <v>408</v>
      </c>
      <c r="C168" t="s">
        <v>380</v>
      </c>
      <c r="D168" t="s">
        <v>197</v>
      </c>
      <c r="E168" s="197" t="s">
        <v>741</v>
      </c>
      <c r="F168" s="197">
        <v>14490</v>
      </c>
      <c r="G168" t="str">
        <f>LOOKUP(B168,ΠΕΡΙΦΕΡΕΙΑ!$A$2:$A$14,ΠΕΡΙΦΕΡΕΙΑ!$B$2:$B$14)</f>
        <v>Ολική</v>
      </c>
      <c r="H168" t="str">
        <f t="shared" si="13"/>
        <v/>
      </c>
      <c r="I168" t="e">
        <f t="shared" si="14"/>
        <v>#NUM!</v>
      </c>
      <c r="J168" t="str">
        <f t="shared" si="15"/>
        <v/>
      </c>
      <c r="K168" t="str">
        <f t="shared" si="16"/>
        <v/>
      </c>
      <c r="L168" s="163" t="s">
        <v>420</v>
      </c>
      <c r="M168" t="str">
        <f t="shared" si="12"/>
        <v/>
      </c>
      <c r="N168"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69" spans="1:14" x14ac:dyDescent="0.25">
      <c r="A169">
        <v>168</v>
      </c>
      <c r="B169" t="s">
        <v>408</v>
      </c>
      <c r="C169" t="s">
        <v>383</v>
      </c>
      <c r="D169" t="s">
        <v>210</v>
      </c>
      <c r="E169" s="197" t="s">
        <v>742</v>
      </c>
      <c r="F169" s="197">
        <v>14494</v>
      </c>
      <c r="G169" t="str">
        <f>LOOKUP(B169,ΠΕΡΙΦΕΡΕΙΑ!$A$2:$A$14,ΠΕΡΙΦΕΡΕΙΑ!$B$2:$B$14)</f>
        <v>Ολική</v>
      </c>
      <c r="H169" t="str">
        <f t="shared" si="13"/>
        <v/>
      </c>
      <c r="I169" t="e">
        <f t="shared" si="14"/>
        <v>#NUM!</v>
      </c>
      <c r="J169" t="str">
        <f t="shared" si="15"/>
        <v/>
      </c>
      <c r="K169" t="str">
        <f t="shared" si="16"/>
        <v/>
      </c>
      <c r="L169" s="163" t="s">
        <v>420</v>
      </c>
      <c r="M169" t="str">
        <f t="shared" si="12"/>
        <v/>
      </c>
      <c r="N169"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70" spans="1:14" x14ac:dyDescent="0.25">
      <c r="A170">
        <v>169</v>
      </c>
      <c r="B170" t="s">
        <v>408</v>
      </c>
      <c r="C170" t="s">
        <v>380</v>
      </c>
      <c r="D170" t="s">
        <v>198</v>
      </c>
      <c r="E170" s="197" t="s">
        <v>743</v>
      </c>
      <c r="F170" s="197">
        <v>14506</v>
      </c>
      <c r="G170" t="str">
        <f>LOOKUP(B170,ΠΕΡΙΦΕΡΕΙΑ!$A$2:$A$14,ΠΕΡΙΦΕΡΕΙΑ!$B$2:$B$14)</f>
        <v>Ολική</v>
      </c>
      <c r="H170" t="str">
        <f t="shared" si="13"/>
        <v/>
      </c>
      <c r="I170" t="e">
        <f t="shared" si="14"/>
        <v>#NUM!</v>
      </c>
      <c r="J170" t="str">
        <f t="shared" si="15"/>
        <v/>
      </c>
      <c r="K170" t="str">
        <f t="shared" si="16"/>
        <v/>
      </c>
      <c r="L170" s="163" t="s">
        <v>420</v>
      </c>
      <c r="M170" t="str">
        <f t="shared" si="12"/>
        <v/>
      </c>
      <c r="N170"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71" spans="1:14" x14ac:dyDescent="0.25">
      <c r="A171">
        <v>170</v>
      </c>
      <c r="B171" t="s">
        <v>408</v>
      </c>
      <c r="C171" t="s">
        <v>383</v>
      </c>
      <c r="D171" t="s">
        <v>211</v>
      </c>
      <c r="E171" s="197" t="s">
        <v>744</v>
      </c>
      <c r="F171" s="197">
        <v>13916</v>
      </c>
      <c r="G171" t="str">
        <f>LOOKUP(B171,ΠΕΡΙΦΕΡΕΙΑ!$A$2:$A$14,ΠΕΡΙΦΕΡΕΙΑ!$B$2:$B$14)</f>
        <v>Ολική</v>
      </c>
      <c r="H171" t="str">
        <f t="shared" si="13"/>
        <v/>
      </c>
      <c r="I171" t="e">
        <f t="shared" si="14"/>
        <v>#NUM!</v>
      </c>
      <c r="J171" t="str">
        <f t="shared" si="15"/>
        <v/>
      </c>
      <c r="K171" t="str">
        <f t="shared" si="16"/>
        <v/>
      </c>
      <c r="L171" s="163" t="s">
        <v>420</v>
      </c>
      <c r="M171" t="str">
        <f t="shared" si="12"/>
        <v/>
      </c>
      <c r="N171"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72" spans="1:14" x14ac:dyDescent="0.25">
      <c r="A172">
        <v>171</v>
      </c>
      <c r="B172" t="s">
        <v>408</v>
      </c>
      <c r="C172" t="s">
        <v>380</v>
      </c>
      <c r="D172" t="s">
        <v>199</v>
      </c>
      <c r="E172" s="197" t="s">
        <v>745</v>
      </c>
      <c r="F172" s="197">
        <v>14512</v>
      </c>
      <c r="G172" t="str">
        <f>LOOKUP(B172,ΠΕΡΙΦΕΡΕΙΑ!$A$2:$A$14,ΠΕΡΙΦΕΡΕΙΑ!$B$2:$B$14)</f>
        <v>Ολική</v>
      </c>
      <c r="H172" t="str">
        <f t="shared" si="13"/>
        <v/>
      </c>
      <c r="I172" t="e">
        <f t="shared" si="14"/>
        <v>#NUM!</v>
      </c>
      <c r="J172" t="str">
        <f t="shared" si="15"/>
        <v/>
      </c>
      <c r="K172" t="str">
        <f t="shared" si="16"/>
        <v/>
      </c>
      <c r="L172" s="163" t="s">
        <v>420</v>
      </c>
      <c r="M172" t="str">
        <f t="shared" si="12"/>
        <v/>
      </c>
      <c r="N172"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73" spans="1:14" x14ac:dyDescent="0.25">
      <c r="A173">
        <v>172</v>
      </c>
      <c r="B173" t="s">
        <v>409</v>
      </c>
      <c r="C173" t="s">
        <v>212</v>
      </c>
      <c r="D173" t="s">
        <v>212</v>
      </c>
      <c r="E173" s="197" t="s">
        <v>746</v>
      </c>
      <c r="F173" s="197">
        <v>14108</v>
      </c>
      <c r="G173" t="str">
        <f>LOOKUP(B173,ΠΕΡΙΦΕΡΕΙΑ!$A$2:$A$14,ΠΕΡΙΦΕΡΕΙΑ!$B$2:$B$14)</f>
        <v>Μερική</v>
      </c>
      <c r="H173">
        <f t="shared" si="13"/>
        <v>172</v>
      </c>
      <c r="I173" t="e">
        <f t="shared" si="14"/>
        <v>#NUM!</v>
      </c>
      <c r="J173" t="str">
        <f t="shared" si="15"/>
        <v/>
      </c>
      <c r="K173" t="str">
        <f t="shared" si="16"/>
        <v/>
      </c>
      <c r="L173" s="163" t="s">
        <v>420</v>
      </c>
      <c r="M173" t="str">
        <f t="shared" si="12"/>
        <v/>
      </c>
      <c r="N173"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74" spans="1:14" x14ac:dyDescent="0.25">
      <c r="A174">
        <v>173</v>
      </c>
      <c r="B174" t="s">
        <v>409</v>
      </c>
      <c r="C174" t="s">
        <v>213</v>
      </c>
      <c r="D174" t="s">
        <v>213</v>
      </c>
      <c r="E174" s="197" t="s">
        <v>747</v>
      </c>
      <c r="F174" s="197">
        <v>14146</v>
      </c>
      <c r="G174" t="str">
        <f>LOOKUP(B174,ΠΕΡΙΦΕΡΕΙΑ!$A$2:$A$14,ΠΕΡΙΦΕΡΕΙΑ!$B$2:$B$14)</f>
        <v>Μερική</v>
      </c>
      <c r="H174">
        <f t="shared" si="13"/>
        <v>173</v>
      </c>
      <c r="I174" t="e">
        <f t="shared" si="14"/>
        <v>#NUM!</v>
      </c>
      <c r="J174" t="str">
        <f t="shared" si="15"/>
        <v/>
      </c>
      <c r="K174" t="str">
        <f t="shared" si="16"/>
        <v/>
      </c>
      <c r="L174" s="163" t="s">
        <v>420</v>
      </c>
      <c r="M174" t="str">
        <f t="shared" si="12"/>
        <v/>
      </c>
      <c r="N174"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75" spans="1:14" x14ac:dyDescent="0.25">
      <c r="A175">
        <v>174</v>
      </c>
      <c r="B175" t="s">
        <v>409</v>
      </c>
      <c r="C175" t="s">
        <v>214</v>
      </c>
      <c r="D175" t="s">
        <v>214</v>
      </c>
      <c r="E175" s="197" t="s">
        <v>748</v>
      </c>
      <c r="F175" s="197">
        <v>14206</v>
      </c>
      <c r="G175" t="str">
        <f>LOOKUP(B175,ΠΕΡΙΦΕΡΕΙΑ!$A$2:$A$14,ΠΕΡΙΦΕΡΕΙΑ!$B$2:$B$14)</f>
        <v>Μερική</v>
      </c>
      <c r="H175">
        <f t="shared" si="13"/>
        <v>174</v>
      </c>
      <c r="I175" t="e">
        <f t="shared" si="14"/>
        <v>#NUM!</v>
      </c>
      <c r="J175" t="str">
        <f t="shared" si="15"/>
        <v/>
      </c>
      <c r="K175" t="str">
        <f t="shared" si="16"/>
        <v/>
      </c>
      <c r="L175" s="163" t="s">
        <v>420</v>
      </c>
      <c r="M175" t="str">
        <f t="shared" si="12"/>
        <v/>
      </c>
      <c r="N175"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76" spans="1:14" x14ac:dyDescent="0.25">
      <c r="A176">
        <v>175</v>
      </c>
      <c r="B176" t="s">
        <v>409</v>
      </c>
      <c r="C176" t="s">
        <v>384</v>
      </c>
      <c r="D176" t="s">
        <v>216</v>
      </c>
      <c r="E176" s="197" t="s">
        <v>749</v>
      </c>
      <c r="F176" s="197">
        <v>14208</v>
      </c>
      <c r="G176" t="str">
        <f>LOOKUP(B176,ΠΕΡΙΦΕΡΕΙΑ!$A$2:$A$14,ΠΕΡΙΦΕΡΕΙΑ!$B$2:$B$14)</f>
        <v>Μερική</v>
      </c>
      <c r="H176">
        <f t="shared" si="13"/>
        <v>175</v>
      </c>
      <c r="I176" t="e">
        <f t="shared" si="14"/>
        <v>#NUM!</v>
      </c>
      <c r="J176" t="str">
        <f t="shared" si="15"/>
        <v/>
      </c>
      <c r="K176" t="str">
        <f t="shared" si="16"/>
        <v/>
      </c>
      <c r="L176" s="163" t="s">
        <v>420</v>
      </c>
      <c r="M176" t="str">
        <f t="shared" si="12"/>
        <v/>
      </c>
      <c r="N176"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77" spans="1:14" x14ac:dyDescent="0.25">
      <c r="A177">
        <v>176</v>
      </c>
      <c r="B177" t="s">
        <v>409</v>
      </c>
      <c r="C177" t="s">
        <v>217</v>
      </c>
      <c r="D177" t="s">
        <v>217</v>
      </c>
      <c r="E177" s="197" t="s">
        <v>750</v>
      </c>
      <c r="F177" s="197">
        <v>14238</v>
      </c>
      <c r="G177" t="str">
        <f>LOOKUP(B177,ΠΕΡΙΦΕΡΕΙΑ!$A$2:$A$14,ΠΕΡΙΦΕΡΕΙΑ!$B$2:$B$14)</f>
        <v>Μερική</v>
      </c>
      <c r="H177">
        <f t="shared" si="13"/>
        <v>176</v>
      </c>
      <c r="I177" t="e">
        <f t="shared" si="14"/>
        <v>#NUM!</v>
      </c>
      <c r="J177" t="str">
        <f t="shared" si="15"/>
        <v/>
      </c>
      <c r="K177" t="str">
        <f t="shared" si="16"/>
        <v/>
      </c>
      <c r="L177" s="163" t="s">
        <v>420</v>
      </c>
      <c r="M177" t="str">
        <f t="shared" si="12"/>
        <v/>
      </c>
      <c r="N177"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78" spans="1:14" x14ac:dyDescent="0.25">
      <c r="A178">
        <v>177</v>
      </c>
      <c r="B178" t="s">
        <v>409</v>
      </c>
      <c r="C178" t="s">
        <v>217</v>
      </c>
      <c r="D178" t="s">
        <v>218</v>
      </c>
      <c r="E178" s="197" t="s">
        <v>751</v>
      </c>
      <c r="F178" s="197">
        <v>14284</v>
      </c>
      <c r="G178" t="str">
        <f>LOOKUP(B178,ΠΕΡΙΦΕΡΕΙΑ!$A$2:$A$14,ΠΕΡΙΦΕΡΕΙΑ!$B$2:$B$14)</f>
        <v>Μερική</v>
      </c>
      <c r="H178">
        <f t="shared" si="13"/>
        <v>177</v>
      </c>
      <c r="I178" t="e">
        <f t="shared" si="14"/>
        <v>#NUM!</v>
      </c>
      <c r="J178" t="str">
        <f t="shared" si="15"/>
        <v/>
      </c>
      <c r="K178" t="str">
        <f t="shared" si="16"/>
        <v/>
      </c>
      <c r="L178" s="163" t="s">
        <v>420</v>
      </c>
      <c r="M178" t="str">
        <f t="shared" si="12"/>
        <v/>
      </c>
      <c r="N178"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79" spans="1:14" x14ac:dyDescent="0.25">
      <c r="A179">
        <v>178</v>
      </c>
      <c r="B179" t="s">
        <v>409</v>
      </c>
      <c r="C179" t="s">
        <v>214</v>
      </c>
      <c r="D179" t="s">
        <v>215</v>
      </c>
      <c r="E179" s="197" t="s">
        <v>752</v>
      </c>
      <c r="F179" s="197">
        <v>14392</v>
      </c>
      <c r="G179" t="str">
        <f>LOOKUP(B179,ΠΕΡΙΦΕΡΕΙΑ!$A$2:$A$14,ΠΕΡΙΦΕΡΕΙΑ!$B$2:$B$14)</f>
        <v>Μερική</v>
      </c>
      <c r="H179">
        <f t="shared" si="13"/>
        <v>178</v>
      </c>
      <c r="I179" t="e">
        <f t="shared" si="14"/>
        <v>#NUM!</v>
      </c>
      <c r="J179" t="str">
        <f t="shared" si="15"/>
        <v/>
      </c>
      <c r="K179" t="str">
        <f t="shared" si="16"/>
        <v/>
      </c>
      <c r="L179" s="163" t="s">
        <v>420</v>
      </c>
      <c r="M179" t="str">
        <f t="shared" si="12"/>
        <v/>
      </c>
      <c r="N179"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80" spans="1:14" x14ac:dyDescent="0.25">
      <c r="A180">
        <v>179</v>
      </c>
      <c r="B180" t="s">
        <v>410</v>
      </c>
      <c r="C180" t="s">
        <v>385</v>
      </c>
      <c r="D180" t="s">
        <v>219</v>
      </c>
      <c r="E180" s="197" t="s">
        <v>753</v>
      </c>
      <c r="F180" s="197">
        <v>13918</v>
      </c>
      <c r="G180" t="str">
        <f>LOOKUP(B180,ΠΕΡΙΦΕΡΕΙΑ!$A$2:$A$14,ΠΕΡΙΦΕΡΕΙΑ!$B$2:$B$14)</f>
        <v>Ολική</v>
      </c>
      <c r="H180" t="str">
        <f t="shared" si="13"/>
        <v/>
      </c>
      <c r="I180" t="e">
        <f t="shared" si="14"/>
        <v>#NUM!</v>
      </c>
      <c r="J180" t="str">
        <f t="shared" si="15"/>
        <v/>
      </c>
      <c r="K180" t="str">
        <f t="shared" si="16"/>
        <v/>
      </c>
      <c r="L180" s="163" t="s">
        <v>420</v>
      </c>
      <c r="M180" t="str">
        <f t="shared" si="12"/>
        <v/>
      </c>
      <c r="N180"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81" spans="1:14" x14ac:dyDescent="0.25">
      <c r="A181">
        <v>180</v>
      </c>
      <c r="B181" t="s">
        <v>410</v>
      </c>
      <c r="C181" t="s">
        <v>240</v>
      </c>
      <c r="D181" t="s">
        <v>238</v>
      </c>
      <c r="E181" s="197" t="s">
        <v>754</v>
      </c>
      <c r="F181" s="197">
        <v>13952</v>
      </c>
      <c r="G181" t="str">
        <f>LOOKUP(B181,ΠΕΡΙΦΕΡΕΙΑ!$A$2:$A$14,ΠΕΡΙΦΕΡΕΙΑ!$B$2:$B$14)</f>
        <v>Ολική</v>
      </c>
      <c r="H181" t="str">
        <f t="shared" si="13"/>
        <v/>
      </c>
      <c r="I181" t="e">
        <f t="shared" si="14"/>
        <v>#NUM!</v>
      </c>
      <c r="J181" t="str">
        <f t="shared" si="15"/>
        <v/>
      </c>
      <c r="K181" t="str">
        <f t="shared" si="16"/>
        <v/>
      </c>
      <c r="L181" s="163" t="s">
        <v>420</v>
      </c>
      <c r="M181" t="str">
        <f t="shared" si="12"/>
        <v/>
      </c>
      <c r="N181"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82" spans="1:14" x14ac:dyDescent="0.25">
      <c r="A182">
        <v>181</v>
      </c>
      <c r="B182" t="s">
        <v>410</v>
      </c>
      <c r="C182" t="s">
        <v>227</v>
      </c>
      <c r="D182" t="s">
        <v>222</v>
      </c>
      <c r="E182" s="197" t="s">
        <v>755</v>
      </c>
      <c r="F182" s="197">
        <v>13968</v>
      </c>
      <c r="G182" t="str">
        <f>LOOKUP(B182,ΠΕΡΙΦΕΡΕΙΑ!$A$2:$A$14,ΠΕΡΙΦΕΡΕΙΑ!$B$2:$B$14)</f>
        <v>Ολική</v>
      </c>
      <c r="H182" t="str">
        <f t="shared" si="13"/>
        <v/>
      </c>
      <c r="I182" t="e">
        <f t="shared" si="14"/>
        <v>#NUM!</v>
      </c>
      <c r="J182" t="str">
        <f t="shared" si="15"/>
        <v/>
      </c>
      <c r="K182" t="str">
        <f t="shared" si="16"/>
        <v/>
      </c>
      <c r="L182" s="163" t="s">
        <v>420</v>
      </c>
      <c r="M182" t="str">
        <f t="shared" si="12"/>
        <v/>
      </c>
      <c r="N182"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83" spans="1:14" x14ac:dyDescent="0.25">
      <c r="A183">
        <v>182</v>
      </c>
      <c r="B183" t="s">
        <v>410</v>
      </c>
      <c r="C183" t="s">
        <v>250</v>
      </c>
      <c r="D183" t="s">
        <v>245</v>
      </c>
      <c r="E183" s="197" t="s">
        <v>756</v>
      </c>
      <c r="F183" s="197">
        <v>13976</v>
      </c>
      <c r="G183" t="str">
        <f>LOOKUP(B183,ΠΕΡΙΦΕΡΕΙΑ!$A$2:$A$14,ΠΕΡΙΦΕΡΕΙΑ!$B$2:$B$14)</f>
        <v>Ολική</v>
      </c>
      <c r="H183" t="str">
        <f t="shared" si="13"/>
        <v/>
      </c>
      <c r="I183" t="e">
        <f t="shared" si="14"/>
        <v>#NUM!</v>
      </c>
      <c r="J183" t="str">
        <f t="shared" si="15"/>
        <v/>
      </c>
      <c r="K183" t="str">
        <f t="shared" si="16"/>
        <v/>
      </c>
      <c r="L183" s="163" t="s">
        <v>420</v>
      </c>
      <c r="M183" t="str">
        <f t="shared" si="12"/>
        <v/>
      </c>
      <c r="N183"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84" spans="1:14" x14ac:dyDescent="0.25">
      <c r="A184">
        <v>183</v>
      </c>
      <c r="B184" t="s">
        <v>410</v>
      </c>
      <c r="C184" t="s">
        <v>387</v>
      </c>
      <c r="D184" t="s">
        <v>252</v>
      </c>
      <c r="E184" s="197" t="s">
        <v>757</v>
      </c>
      <c r="F184" s="197">
        <v>13996</v>
      </c>
      <c r="G184" t="str">
        <f>LOOKUP(B184,ΠΕΡΙΦΕΡΕΙΑ!$A$2:$A$14,ΠΕΡΙΦΕΡΕΙΑ!$B$2:$B$14)</f>
        <v>Ολική</v>
      </c>
      <c r="H184" t="str">
        <f t="shared" si="13"/>
        <v/>
      </c>
      <c r="I184" t="e">
        <f t="shared" si="14"/>
        <v>#NUM!</v>
      </c>
      <c r="J184" t="str">
        <f t="shared" si="15"/>
        <v/>
      </c>
      <c r="K184" t="str">
        <f t="shared" si="16"/>
        <v/>
      </c>
      <c r="L184" s="163" t="s">
        <v>420</v>
      </c>
      <c r="M184" t="str">
        <f t="shared" si="12"/>
        <v/>
      </c>
      <c r="N184"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85" spans="1:14" x14ac:dyDescent="0.25">
      <c r="A185">
        <v>184</v>
      </c>
      <c r="B185" t="s">
        <v>410</v>
      </c>
      <c r="C185" t="s">
        <v>385</v>
      </c>
      <c r="D185" t="s">
        <v>220</v>
      </c>
      <c r="E185" s="197" t="s">
        <v>758</v>
      </c>
      <c r="F185" s="197">
        <v>14014</v>
      </c>
      <c r="G185" t="str">
        <f>LOOKUP(B185,ΠΕΡΙΦΕΡΕΙΑ!$A$2:$A$14,ΠΕΡΙΦΕΡΕΙΑ!$B$2:$B$14)</f>
        <v>Ολική</v>
      </c>
      <c r="H185" t="str">
        <f t="shared" si="13"/>
        <v/>
      </c>
      <c r="I185" t="e">
        <f t="shared" si="14"/>
        <v>#NUM!</v>
      </c>
      <c r="J185" t="str">
        <f t="shared" si="15"/>
        <v/>
      </c>
      <c r="K185" t="str">
        <f t="shared" si="16"/>
        <v/>
      </c>
      <c r="L185" s="163" t="s">
        <v>420</v>
      </c>
      <c r="M185" t="str">
        <f t="shared" si="12"/>
        <v/>
      </c>
      <c r="N185"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86" spans="1:14" x14ac:dyDescent="0.25">
      <c r="A186">
        <v>185</v>
      </c>
      <c r="B186" t="s">
        <v>410</v>
      </c>
      <c r="C186" t="s">
        <v>250</v>
      </c>
      <c r="D186" t="s">
        <v>246</v>
      </c>
      <c r="E186" s="197" t="s">
        <v>759</v>
      </c>
      <c r="F186" s="197">
        <v>14018</v>
      </c>
      <c r="G186" t="str">
        <f>LOOKUP(B186,ΠΕΡΙΦΕΡΕΙΑ!$A$2:$A$14,ΠΕΡΙΦΕΡΕΙΑ!$B$2:$B$14)</f>
        <v>Ολική</v>
      </c>
      <c r="H186" t="str">
        <f t="shared" si="13"/>
        <v/>
      </c>
      <c r="I186" t="e">
        <f t="shared" si="14"/>
        <v>#NUM!</v>
      </c>
      <c r="J186" t="str">
        <f t="shared" si="15"/>
        <v/>
      </c>
      <c r="K186" t="str">
        <f t="shared" si="16"/>
        <v/>
      </c>
      <c r="L186" s="163" t="s">
        <v>420</v>
      </c>
      <c r="M186" t="str">
        <f t="shared" si="12"/>
        <v/>
      </c>
      <c r="N186"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87" spans="1:14" x14ac:dyDescent="0.25">
      <c r="A187">
        <v>186</v>
      </c>
      <c r="B187" t="s">
        <v>410</v>
      </c>
      <c r="C187" t="s">
        <v>227</v>
      </c>
      <c r="D187" t="s">
        <v>223</v>
      </c>
      <c r="E187" s="197" t="s">
        <v>760</v>
      </c>
      <c r="F187" s="197">
        <v>14030</v>
      </c>
      <c r="G187" t="str">
        <f>LOOKUP(B187,ΠΕΡΙΦΕΡΕΙΑ!$A$2:$A$14,ΠΕΡΙΦΕΡΕΙΑ!$B$2:$B$14)</f>
        <v>Ολική</v>
      </c>
      <c r="H187" t="str">
        <f t="shared" si="13"/>
        <v/>
      </c>
      <c r="I187" t="e">
        <f t="shared" si="14"/>
        <v>#NUM!</v>
      </c>
      <c r="J187" t="str">
        <f t="shared" si="15"/>
        <v/>
      </c>
      <c r="K187" t="str">
        <f t="shared" si="16"/>
        <v/>
      </c>
      <c r="L187" s="163" t="s">
        <v>420</v>
      </c>
      <c r="M187" t="str">
        <f t="shared" si="12"/>
        <v/>
      </c>
      <c r="N187"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88" spans="1:14" x14ac:dyDescent="0.25">
      <c r="A188">
        <v>187</v>
      </c>
      <c r="B188" t="s">
        <v>410</v>
      </c>
      <c r="C188" t="s">
        <v>227</v>
      </c>
      <c r="D188" t="s">
        <v>224</v>
      </c>
      <c r="E188" s="197" t="s">
        <v>761</v>
      </c>
      <c r="F188" s="197">
        <v>14050</v>
      </c>
      <c r="G188" t="str">
        <f>LOOKUP(B188,ΠΕΡΙΦΕΡΕΙΑ!$A$2:$A$14,ΠΕΡΙΦΕΡΕΙΑ!$B$2:$B$14)</f>
        <v>Ολική</v>
      </c>
      <c r="H188" t="str">
        <f t="shared" si="13"/>
        <v/>
      </c>
      <c r="I188" t="e">
        <f t="shared" si="14"/>
        <v>#NUM!</v>
      </c>
      <c r="J188" t="str">
        <f t="shared" si="15"/>
        <v/>
      </c>
      <c r="K188" t="str">
        <f t="shared" si="16"/>
        <v/>
      </c>
      <c r="L188" s="163" t="s">
        <v>420</v>
      </c>
      <c r="M188" t="str">
        <f t="shared" si="12"/>
        <v/>
      </c>
      <c r="N188"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89" spans="1:14" x14ac:dyDescent="0.25">
      <c r="A189">
        <v>188</v>
      </c>
      <c r="B189" t="s">
        <v>410</v>
      </c>
      <c r="C189" t="s">
        <v>386</v>
      </c>
      <c r="D189" t="s">
        <v>242</v>
      </c>
      <c r="E189" s="197" t="s">
        <v>762</v>
      </c>
      <c r="F189" s="197">
        <v>14062</v>
      </c>
      <c r="G189" t="str">
        <f>LOOKUP(B189,ΠΕΡΙΦΕΡΕΙΑ!$A$2:$A$14,ΠΕΡΙΦΕΡΕΙΑ!$B$2:$B$14)</f>
        <v>Ολική</v>
      </c>
      <c r="H189" t="str">
        <f t="shared" si="13"/>
        <v/>
      </c>
      <c r="I189" t="e">
        <f t="shared" si="14"/>
        <v>#NUM!</v>
      </c>
      <c r="J189" t="str">
        <f t="shared" si="15"/>
        <v/>
      </c>
      <c r="K189" t="str">
        <f t="shared" si="16"/>
        <v/>
      </c>
      <c r="L189" s="163" t="s">
        <v>420</v>
      </c>
      <c r="M189" t="str">
        <f t="shared" si="12"/>
        <v/>
      </c>
      <c r="N189"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90" spans="1:14" x14ac:dyDescent="0.25">
      <c r="A190">
        <v>189</v>
      </c>
      <c r="B190" t="s">
        <v>410</v>
      </c>
      <c r="C190" t="s">
        <v>240</v>
      </c>
      <c r="D190" t="s">
        <v>239</v>
      </c>
      <c r="E190" s="197" t="s">
        <v>763</v>
      </c>
      <c r="F190" s="197">
        <v>14080</v>
      </c>
      <c r="G190" t="str">
        <f>LOOKUP(B190,ΠΕΡΙΦΕΡΕΙΑ!$A$2:$A$14,ΠΕΡΙΦΕΡΕΙΑ!$B$2:$B$14)</f>
        <v>Ολική</v>
      </c>
      <c r="H190" t="str">
        <f t="shared" si="13"/>
        <v/>
      </c>
      <c r="I190" t="e">
        <f t="shared" si="14"/>
        <v>#NUM!</v>
      </c>
      <c r="J190" t="str">
        <f t="shared" si="15"/>
        <v/>
      </c>
      <c r="K190" t="str">
        <f t="shared" si="16"/>
        <v/>
      </c>
      <c r="L190" s="163" t="s">
        <v>420</v>
      </c>
      <c r="M190" t="str">
        <f t="shared" si="12"/>
        <v/>
      </c>
      <c r="N190"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91" spans="1:14" x14ac:dyDescent="0.25">
      <c r="A191">
        <v>190</v>
      </c>
      <c r="B191" t="s">
        <v>410</v>
      </c>
      <c r="C191" t="s">
        <v>250</v>
      </c>
      <c r="D191" t="s">
        <v>247</v>
      </c>
      <c r="E191" s="197" t="s">
        <v>764</v>
      </c>
      <c r="F191" s="197">
        <v>14088</v>
      </c>
      <c r="G191" t="str">
        <f>LOOKUP(B191,ΠΕΡΙΦΕΡΕΙΑ!$A$2:$A$14,ΠΕΡΙΦΕΡΕΙΑ!$B$2:$B$14)</f>
        <v>Ολική</v>
      </c>
      <c r="H191" t="str">
        <f t="shared" si="13"/>
        <v/>
      </c>
      <c r="I191" t="e">
        <f t="shared" si="14"/>
        <v>#NUM!</v>
      </c>
      <c r="J191" t="str">
        <f t="shared" si="15"/>
        <v/>
      </c>
      <c r="K191" t="str">
        <f t="shared" si="16"/>
        <v/>
      </c>
      <c r="L191" s="163" t="s">
        <v>420</v>
      </c>
      <c r="M191" t="str">
        <f t="shared" si="12"/>
        <v/>
      </c>
      <c r="N191"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92" spans="1:14" x14ac:dyDescent="0.25">
      <c r="A192">
        <v>191</v>
      </c>
      <c r="B192" t="s">
        <v>410</v>
      </c>
      <c r="C192" t="s">
        <v>250</v>
      </c>
      <c r="D192" t="s">
        <v>248</v>
      </c>
      <c r="E192" s="197" t="s">
        <v>765</v>
      </c>
      <c r="F192" s="197">
        <v>13914</v>
      </c>
      <c r="G192" t="str">
        <f>LOOKUP(B192,ΠΕΡΙΦΕΡΕΙΑ!$A$2:$A$14,ΠΕΡΙΦΕΡΕΙΑ!$B$2:$B$14)</f>
        <v>Ολική</v>
      </c>
      <c r="H192" t="str">
        <f t="shared" si="13"/>
        <v/>
      </c>
      <c r="I192" t="e">
        <f t="shared" si="14"/>
        <v>#NUM!</v>
      </c>
      <c r="J192" t="str">
        <f t="shared" si="15"/>
        <v/>
      </c>
      <c r="K192" t="str">
        <f t="shared" si="16"/>
        <v/>
      </c>
      <c r="L192" s="163" t="s">
        <v>420</v>
      </c>
      <c r="M192" t="str">
        <f t="shared" si="12"/>
        <v/>
      </c>
      <c r="N192"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93" spans="1:14" x14ac:dyDescent="0.25">
      <c r="A193">
        <v>192</v>
      </c>
      <c r="B193" t="s">
        <v>410</v>
      </c>
      <c r="C193" t="s">
        <v>227</v>
      </c>
      <c r="D193" t="s">
        <v>225</v>
      </c>
      <c r="E193" s="197" t="s">
        <v>766</v>
      </c>
      <c r="F193" s="197">
        <v>14126</v>
      </c>
      <c r="G193" t="str">
        <f>LOOKUP(B193,ΠΕΡΙΦΕΡΕΙΑ!$A$2:$A$14,ΠΕΡΙΦΕΡΕΙΑ!$B$2:$B$14)</f>
        <v>Ολική</v>
      </c>
      <c r="H193" t="str">
        <f t="shared" si="13"/>
        <v/>
      </c>
      <c r="I193" t="e">
        <f t="shared" si="14"/>
        <v>#NUM!</v>
      </c>
      <c r="J193" t="str">
        <f t="shared" si="15"/>
        <v/>
      </c>
      <c r="K193" t="str">
        <f t="shared" si="16"/>
        <v/>
      </c>
      <c r="L193" s="163" t="s">
        <v>420</v>
      </c>
      <c r="M193" t="str">
        <f t="shared" si="12"/>
        <v/>
      </c>
      <c r="N193"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94" spans="1:14" x14ac:dyDescent="0.25">
      <c r="A194">
        <v>193</v>
      </c>
      <c r="B194" t="s">
        <v>410</v>
      </c>
      <c r="C194" t="s">
        <v>227</v>
      </c>
      <c r="D194" t="s">
        <v>226</v>
      </c>
      <c r="E194" s="197" t="s">
        <v>767</v>
      </c>
      <c r="F194" s="197">
        <v>14128</v>
      </c>
      <c r="G194" t="str">
        <f>LOOKUP(B194,ΠΕΡΙΦΕΡΕΙΑ!$A$2:$A$14,ΠΕΡΙΦΕΡΕΙΑ!$B$2:$B$14)</f>
        <v>Ολική</v>
      </c>
      <c r="H194" t="str">
        <f t="shared" si="13"/>
        <v/>
      </c>
      <c r="I194" t="e">
        <f t="shared" si="14"/>
        <v>#NUM!</v>
      </c>
      <c r="J194" t="str">
        <f t="shared" si="15"/>
        <v/>
      </c>
      <c r="K194" t="str">
        <f t="shared" si="16"/>
        <v/>
      </c>
      <c r="L194" s="163" t="s">
        <v>420</v>
      </c>
      <c r="M194" t="str">
        <f t="shared" ref="M194:M257" si="18">IF(K194&lt;&gt;"",IF(L194="ΝΑΙ",J194&amp;" - "&amp;K194&amp;", ",""),"")</f>
        <v/>
      </c>
      <c r="N194"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95" spans="1:14" x14ac:dyDescent="0.25">
      <c r="A195">
        <v>194</v>
      </c>
      <c r="B195" t="s">
        <v>410</v>
      </c>
      <c r="C195" t="s">
        <v>227</v>
      </c>
      <c r="D195" t="s">
        <v>227</v>
      </c>
      <c r="E195" s="197" t="s">
        <v>768</v>
      </c>
      <c r="F195" s="197">
        <v>14130</v>
      </c>
      <c r="G195" t="str">
        <f>LOOKUP(B195,ΠΕΡΙΦΕΡΕΙΑ!$A$2:$A$14,ΠΕΡΙΦΕΡΕΙΑ!$B$2:$B$14)</f>
        <v>Ολική</v>
      </c>
      <c r="H195" t="str">
        <f t="shared" ref="H195:H258" si="19">IF(G195="Μερική",A195,"")</f>
        <v/>
      </c>
      <c r="I195" t="e">
        <f t="shared" ref="I195:I258" si="20">SMALL(H:H,A195)</f>
        <v>#NUM!</v>
      </c>
      <c r="J195" t="str">
        <f t="shared" ref="J195:J258" si="21">IF(ISNUMBER(I195),LOOKUP(I195,A:A,B:B),"")</f>
        <v/>
      </c>
      <c r="K195" t="str">
        <f t="shared" ref="K195:K258" si="22">IF(ISNUMBER(I195),LOOKUP(I195,A:A,D:D),"")</f>
        <v/>
      </c>
      <c r="L195" s="163" t="s">
        <v>420</v>
      </c>
      <c r="M195" t="str">
        <f t="shared" si="18"/>
        <v/>
      </c>
      <c r="N195" t="str">
        <f t="shared" si="17"/>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96" spans="1:14" x14ac:dyDescent="0.25">
      <c r="A196">
        <v>195</v>
      </c>
      <c r="B196" t="s">
        <v>410</v>
      </c>
      <c r="C196" t="s">
        <v>227</v>
      </c>
      <c r="D196" t="s">
        <v>228</v>
      </c>
      <c r="E196" s="197" t="s">
        <v>769</v>
      </c>
      <c r="F196" s="197">
        <v>14176</v>
      </c>
      <c r="G196" t="str">
        <f>LOOKUP(B196,ΠΕΡΙΦΕΡΕΙΑ!$A$2:$A$14,ΠΕΡΙΦΕΡΕΙΑ!$B$2:$B$14)</f>
        <v>Ολική</v>
      </c>
      <c r="H196" t="str">
        <f t="shared" si="19"/>
        <v/>
      </c>
      <c r="I196" t="e">
        <f t="shared" si="20"/>
        <v>#NUM!</v>
      </c>
      <c r="J196" t="str">
        <f t="shared" si="21"/>
        <v/>
      </c>
      <c r="K196" t="str">
        <f t="shared" si="22"/>
        <v/>
      </c>
      <c r="L196" s="163" t="s">
        <v>420</v>
      </c>
      <c r="M196" t="str">
        <f t="shared" si="18"/>
        <v/>
      </c>
      <c r="N196" t="str">
        <f t="shared" ref="N196:N259" si="23">N195&amp;M196</f>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97" spans="1:14" x14ac:dyDescent="0.25">
      <c r="A197">
        <v>196</v>
      </c>
      <c r="B197" t="s">
        <v>410</v>
      </c>
      <c r="C197" t="s">
        <v>387</v>
      </c>
      <c r="D197" t="s">
        <v>253</v>
      </c>
      <c r="E197" s="197" t="s">
        <v>770</v>
      </c>
      <c r="F197" s="197">
        <v>14192</v>
      </c>
      <c r="G197" t="str">
        <f>LOOKUP(B197,ΠΕΡΙΦΕΡΕΙΑ!$A$2:$A$14,ΠΕΡΙΦΕΡΕΙΑ!$B$2:$B$14)</f>
        <v>Ολική</v>
      </c>
      <c r="H197" t="str">
        <f t="shared" si="19"/>
        <v/>
      </c>
      <c r="I197" t="e">
        <f t="shared" si="20"/>
        <v>#NUM!</v>
      </c>
      <c r="J197" t="str">
        <f t="shared" si="21"/>
        <v/>
      </c>
      <c r="K197" t="str">
        <f t="shared" si="22"/>
        <v/>
      </c>
      <c r="L197" s="163" t="s">
        <v>420</v>
      </c>
      <c r="M197" t="str">
        <f t="shared" si="18"/>
        <v/>
      </c>
      <c r="N197"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98" spans="1:14" x14ac:dyDescent="0.25">
      <c r="A198">
        <v>197</v>
      </c>
      <c r="B198" t="s">
        <v>410</v>
      </c>
      <c r="C198" t="s">
        <v>386</v>
      </c>
      <c r="D198" t="s">
        <v>243</v>
      </c>
      <c r="E198" s="197" t="s">
        <v>771</v>
      </c>
      <c r="F198" s="197">
        <v>14200</v>
      </c>
      <c r="G198" t="str">
        <f>LOOKUP(B198,ΠΕΡΙΦΕΡΕΙΑ!$A$2:$A$14,ΠΕΡΙΦΕΡΕΙΑ!$B$2:$B$14)</f>
        <v>Ολική</v>
      </c>
      <c r="H198" t="str">
        <f t="shared" si="19"/>
        <v/>
      </c>
      <c r="I198" t="e">
        <f t="shared" si="20"/>
        <v>#NUM!</v>
      </c>
      <c r="J198" t="str">
        <f t="shared" si="21"/>
        <v/>
      </c>
      <c r="K198" t="str">
        <f t="shared" si="22"/>
        <v/>
      </c>
      <c r="L198" s="163" t="s">
        <v>420</v>
      </c>
      <c r="M198" t="str">
        <f t="shared" si="18"/>
        <v/>
      </c>
      <c r="N198"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199" spans="1:14" x14ac:dyDescent="0.25">
      <c r="A199">
        <v>198</v>
      </c>
      <c r="B199" t="s">
        <v>410</v>
      </c>
      <c r="C199" t="s">
        <v>236</v>
      </c>
      <c r="D199" t="s">
        <v>236</v>
      </c>
      <c r="E199" s="197" t="s">
        <v>772</v>
      </c>
      <c r="F199" s="197">
        <v>14212</v>
      </c>
      <c r="G199" t="str">
        <f>LOOKUP(B199,ΠΕΡΙΦΕΡΕΙΑ!$A$2:$A$14,ΠΕΡΙΦΕΡΕΙΑ!$B$2:$B$14)</f>
        <v>Ολική</v>
      </c>
      <c r="H199" t="str">
        <f t="shared" si="19"/>
        <v/>
      </c>
      <c r="I199" t="e">
        <f t="shared" si="20"/>
        <v>#NUM!</v>
      </c>
      <c r="J199" t="str">
        <f t="shared" si="21"/>
        <v/>
      </c>
      <c r="K199" t="str">
        <f t="shared" si="22"/>
        <v/>
      </c>
      <c r="L199" s="163" t="s">
        <v>420</v>
      </c>
      <c r="M199" t="str">
        <f t="shared" si="18"/>
        <v/>
      </c>
      <c r="N199"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00" spans="1:14" x14ac:dyDescent="0.25">
      <c r="A200">
        <v>199</v>
      </c>
      <c r="B200" t="s">
        <v>410</v>
      </c>
      <c r="C200" t="s">
        <v>227</v>
      </c>
      <c r="D200" t="s">
        <v>229</v>
      </c>
      <c r="E200" s="197" t="s">
        <v>773</v>
      </c>
      <c r="F200" s="197">
        <v>14224</v>
      </c>
      <c r="G200" t="str">
        <f>LOOKUP(B200,ΠΕΡΙΦΕΡΕΙΑ!$A$2:$A$14,ΠΕΡΙΦΕΡΕΙΑ!$B$2:$B$14)</f>
        <v>Ολική</v>
      </c>
      <c r="H200" t="str">
        <f t="shared" si="19"/>
        <v/>
      </c>
      <c r="I200" t="e">
        <f t="shared" si="20"/>
        <v>#NUM!</v>
      </c>
      <c r="J200" t="str">
        <f t="shared" si="21"/>
        <v/>
      </c>
      <c r="K200" t="str">
        <f t="shared" si="22"/>
        <v/>
      </c>
      <c r="L200" s="163" t="s">
        <v>420</v>
      </c>
      <c r="M200" t="str">
        <f t="shared" si="18"/>
        <v/>
      </c>
      <c r="N200"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01" spans="1:14" x14ac:dyDescent="0.25">
      <c r="A201">
        <v>200</v>
      </c>
      <c r="B201" t="s">
        <v>410</v>
      </c>
      <c r="C201" t="s">
        <v>227</v>
      </c>
      <c r="D201" t="s">
        <v>230</v>
      </c>
      <c r="E201" s="197" t="s">
        <v>774</v>
      </c>
      <c r="F201" s="197">
        <v>14172</v>
      </c>
      <c r="G201" t="str">
        <f>LOOKUP(B201,ΠΕΡΙΦΕΡΕΙΑ!$A$2:$A$14,ΠΕΡΙΦΕΡΕΙΑ!$B$2:$B$14)</f>
        <v>Ολική</v>
      </c>
      <c r="H201" t="str">
        <f t="shared" si="19"/>
        <v/>
      </c>
      <c r="I201" t="e">
        <f t="shared" si="20"/>
        <v>#NUM!</v>
      </c>
      <c r="J201" t="str">
        <f t="shared" si="21"/>
        <v/>
      </c>
      <c r="K201" t="str">
        <f t="shared" si="22"/>
        <v/>
      </c>
      <c r="L201" s="163" t="s">
        <v>420</v>
      </c>
      <c r="M201" t="str">
        <f t="shared" si="18"/>
        <v/>
      </c>
      <c r="N201"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02" spans="1:14" x14ac:dyDescent="0.25">
      <c r="A202">
        <v>201</v>
      </c>
      <c r="B202" t="s">
        <v>410</v>
      </c>
      <c r="C202" t="s">
        <v>385</v>
      </c>
      <c r="D202" t="s">
        <v>221</v>
      </c>
      <c r="E202" s="197" t="s">
        <v>775</v>
      </c>
      <c r="F202" s="197">
        <v>14272</v>
      </c>
      <c r="G202" t="str">
        <f>LOOKUP(B202,ΠΕΡΙΦΕΡΕΙΑ!$A$2:$A$14,ΠΕΡΙΦΕΡΕΙΑ!$B$2:$B$14)</f>
        <v>Ολική</v>
      </c>
      <c r="H202" t="str">
        <f t="shared" si="19"/>
        <v/>
      </c>
      <c r="I202" t="e">
        <f t="shared" si="20"/>
        <v>#NUM!</v>
      </c>
      <c r="J202" t="str">
        <f t="shared" si="21"/>
        <v/>
      </c>
      <c r="K202" t="str">
        <f t="shared" si="22"/>
        <v/>
      </c>
      <c r="L202" s="163" t="s">
        <v>420</v>
      </c>
      <c r="M202" t="str">
        <f t="shared" si="18"/>
        <v/>
      </c>
      <c r="N202"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03" spans="1:14" x14ac:dyDescent="0.25">
      <c r="A203">
        <v>202</v>
      </c>
      <c r="B203" t="s">
        <v>410</v>
      </c>
      <c r="C203" t="s">
        <v>227</v>
      </c>
      <c r="D203" t="s">
        <v>231</v>
      </c>
      <c r="E203" s="197" t="s">
        <v>776</v>
      </c>
      <c r="F203" s="197">
        <v>14332</v>
      </c>
      <c r="G203" t="str">
        <f>LOOKUP(B203,ΠΕΡΙΦΕΡΕΙΑ!$A$2:$A$14,ΠΕΡΙΦΕΡΕΙΑ!$B$2:$B$14)</f>
        <v>Ολική</v>
      </c>
      <c r="H203" t="str">
        <f t="shared" si="19"/>
        <v/>
      </c>
      <c r="I203" t="e">
        <f t="shared" si="20"/>
        <v>#NUM!</v>
      </c>
      <c r="J203" t="str">
        <f t="shared" si="21"/>
        <v/>
      </c>
      <c r="K203" t="str">
        <f t="shared" si="22"/>
        <v/>
      </c>
      <c r="L203" s="163" t="s">
        <v>420</v>
      </c>
      <c r="M203" t="str">
        <f t="shared" si="18"/>
        <v/>
      </c>
      <c r="N203"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04" spans="1:14" x14ac:dyDescent="0.25">
      <c r="A204">
        <v>203</v>
      </c>
      <c r="B204" t="s">
        <v>410</v>
      </c>
      <c r="C204" t="s">
        <v>250</v>
      </c>
      <c r="D204" t="s">
        <v>249</v>
      </c>
      <c r="E204" s="197" t="s">
        <v>777</v>
      </c>
      <c r="F204" s="197">
        <v>14334</v>
      </c>
      <c r="G204" t="str">
        <f>LOOKUP(B204,ΠΕΡΙΦΕΡΕΙΑ!$A$2:$A$14,ΠΕΡΙΦΕΡΕΙΑ!$B$2:$B$14)</f>
        <v>Ολική</v>
      </c>
      <c r="H204" t="str">
        <f t="shared" si="19"/>
        <v/>
      </c>
      <c r="I204" t="e">
        <f t="shared" si="20"/>
        <v>#NUM!</v>
      </c>
      <c r="J204" t="str">
        <f t="shared" si="21"/>
        <v/>
      </c>
      <c r="K204" t="str">
        <f t="shared" si="22"/>
        <v/>
      </c>
      <c r="L204" s="163" t="s">
        <v>420</v>
      </c>
      <c r="M204" t="str">
        <f t="shared" si="18"/>
        <v/>
      </c>
      <c r="N204"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05" spans="1:14" x14ac:dyDescent="0.25">
      <c r="A205">
        <v>204</v>
      </c>
      <c r="B205" t="s">
        <v>410</v>
      </c>
      <c r="C205" t="s">
        <v>387</v>
      </c>
      <c r="D205" t="s">
        <v>254</v>
      </c>
      <c r="E205" s="197" t="s">
        <v>778</v>
      </c>
      <c r="F205" s="197">
        <v>14318</v>
      </c>
      <c r="G205" t="str">
        <f>LOOKUP(B205,ΠΕΡΙΦΕΡΕΙΑ!$A$2:$A$14,ΠΕΡΙΦΕΡΕΙΑ!$B$2:$B$14)</f>
        <v>Ολική</v>
      </c>
      <c r="H205" t="str">
        <f t="shared" si="19"/>
        <v/>
      </c>
      <c r="I205" t="e">
        <f t="shared" si="20"/>
        <v>#NUM!</v>
      </c>
      <c r="J205" t="str">
        <f t="shared" si="21"/>
        <v/>
      </c>
      <c r="K205" t="str">
        <f t="shared" si="22"/>
        <v/>
      </c>
      <c r="L205" s="163" t="s">
        <v>420</v>
      </c>
      <c r="M205" t="str">
        <f t="shared" si="18"/>
        <v/>
      </c>
      <c r="N205"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06" spans="1:14" x14ac:dyDescent="0.25">
      <c r="A206">
        <v>205</v>
      </c>
      <c r="B206" t="s">
        <v>410</v>
      </c>
      <c r="C206" t="s">
        <v>236</v>
      </c>
      <c r="D206" t="s">
        <v>237</v>
      </c>
      <c r="E206" s="197" t="s">
        <v>779</v>
      </c>
      <c r="F206" s="197">
        <v>14384</v>
      </c>
      <c r="G206" t="str">
        <f>LOOKUP(B206,ΠΕΡΙΦΕΡΕΙΑ!$A$2:$A$14,ΠΕΡΙΦΕΡΕΙΑ!$B$2:$B$14)</f>
        <v>Ολική</v>
      </c>
      <c r="H206" t="str">
        <f t="shared" si="19"/>
        <v/>
      </c>
      <c r="I206" t="e">
        <f t="shared" si="20"/>
        <v>#NUM!</v>
      </c>
      <c r="J206" t="str">
        <f t="shared" si="21"/>
        <v/>
      </c>
      <c r="K206" t="str">
        <f t="shared" si="22"/>
        <v/>
      </c>
      <c r="L206" s="163" t="s">
        <v>420</v>
      </c>
      <c r="M206" t="str">
        <f t="shared" si="18"/>
        <v/>
      </c>
      <c r="N206"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07" spans="1:14" x14ac:dyDescent="0.25">
      <c r="A207">
        <v>206</v>
      </c>
      <c r="B207" t="s">
        <v>410</v>
      </c>
      <c r="C207" t="s">
        <v>227</v>
      </c>
      <c r="D207" t="s">
        <v>232</v>
      </c>
      <c r="E207" s="197" t="s">
        <v>780</v>
      </c>
      <c r="F207" s="197">
        <v>14368</v>
      </c>
      <c r="G207" t="str">
        <f>LOOKUP(B207,ΠΕΡΙΦΕΡΕΙΑ!$A$2:$A$14,ΠΕΡΙΦΕΡΕΙΑ!$B$2:$B$14)</f>
        <v>Ολική</v>
      </c>
      <c r="H207" t="str">
        <f t="shared" si="19"/>
        <v/>
      </c>
      <c r="I207" t="e">
        <f t="shared" si="20"/>
        <v>#NUM!</v>
      </c>
      <c r="J207" t="str">
        <f t="shared" si="21"/>
        <v/>
      </c>
      <c r="K207" t="str">
        <f t="shared" si="22"/>
        <v/>
      </c>
      <c r="L207" s="163" t="s">
        <v>420</v>
      </c>
      <c r="M207" t="str">
        <f t="shared" si="18"/>
        <v/>
      </c>
      <c r="N207"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08" spans="1:14" x14ac:dyDescent="0.25">
      <c r="A208">
        <v>207</v>
      </c>
      <c r="B208" t="s">
        <v>410</v>
      </c>
      <c r="C208" t="s">
        <v>240</v>
      </c>
      <c r="D208" t="s">
        <v>240</v>
      </c>
      <c r="E208" s="197" t="s">
        <v>781</v>
      </c>
      <c r="F208" s="197">
        <v>14382</v>
      </c>
      <c r="G208" t="str">
        <f>LOOKUP(B208,ΠΕΡΙΦΕΡΕΙΑ!$A$2:$A$14,ΠΕΡΙΦΕΡΕΙΑ!$B$2:$B$14)</f>
        <v>Ολική</v>
      </c>
      <c r="H208" t="str">
        <f t="shared" si="19"/>
        <v/>
      </c>
      <c r="I208" t="e">
        <f t="shared" si="20"/>
        <v>#NUM!</v>
      </c>
      <c r="J208" t="str">
        <f t="shared" si="21"/>
        <v/>
      </c>
      <c r="K208" t="str">
        <f t="shared" si="22"/>
        <v/>
      </c>
      <c r="L208" s="163" t="s">
        <v>420</v>
      </c>
      <c r="M208" t="str">
        <f t="shared" si="18"/>
        <v/>
      </c>
      <c r="N208"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09" spans="1:14" x14ac:dyDescent="0.25">
      <c r="A209">
        <v>208</v>
      </c>
      <c r="B209" t="s">
        <v>410</v>
      </c>
      <c r="C209" t="s">
        <v>387</v>
      </c>
      <c r="D209" t="s">
        <v>255</v>
      </c>
      <c r="E209" s="197" t="s">
        <v>782</v>
      </c>
      <c r="F209" s="197">
        <v>14414</v>
      </c>
      <c r="G209" t="str">
        <f>LOOKUP(B209,ΠΕΡΙΦΕΡΕΙΑ!$A$2:$A$14,ΠΕΡΙΦΕΡΕΙΑ!$B$2:$B$14)</f>
        <v>Ολική</v>
      </c>
      <c r="H209" t="str">
        <f t="shared" si="19"/>
        <v/>
      </c>
      <c r="I209" t="e">
        <f t="shared" si="20"/>
        <v>#NUM!</v>
      </c>
      <c r="J209" t="str">
        <f t="shared" si="21"/>
        <v/>
      </c>
      <c r="K209" t="str">
        <f t="shared" si="22"/>
        <v/>
      </c>
      <c r="L209" s="163" t="s">
        <v>420</v>
      </c>
      <c r="M209" t="str">
        <f t="shared" si="18"/>
        <v/>
      </c>
      <c r="N209"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10" spans="1:14" x14ac:dyDescent="0.25">
      <c r="A210">
        <v>209</v>
      </c>
      <c r="B210" t="s">
        <v>410</v>
      </c>
      <c r="C210" t="s">
        <v>386</v>
      </c>
      <c r="D210" t="s">
        <v>244</v>
      </c>
      <c r="E210" s="197" t="s">
        <v>783</v>
      </c>
      <c r="F210" s="197">
        <v>14422</v>
      </c>
      <c r="G210" t="str">
        <f>LOOKUP(B210,ΠΕΡΙΦΕΡΕΙΑ!$A$2:$A$14,ΠΕΡΙΦΕΡΕΙΑ!$B$2:$B$14)</f>
        <v>Ολική</v>
      </c>
      <c r="H210" t="str">
        <f t="shared" si="19"/>
        <v/>
      </c>
      <c r="I210" t="e">
        <f t="shared" si="20"/>
        <v>#NUM!</v>
      </c>
      <c r="J210" t="str">
        <f t="shared" si="21"/>
        <v/>
      </c>
      <c r="K210" t="str">
        <f t="shared" si="22"/>
        <v/>
      </c>
      <c r="L210" s="163" t="s">
        <v>420</v>
      </c>
      <c r="M210" t="str">
        <f t="shared" si="18"/>
        <v/>
      </c>
      <c r="N210"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11" spans="1:14" x14ac:dyDescent="0.25">
      <c r="A211">
        <v>210</v>
      </c>
      <c r="B211" t="s">
        <v>410</v>
      </c>
      <c r="C211" t="s">
        <v>227</v>
      </c>
      <c r="D211" t="s">
        <v>233</v>
      </c>
      <c r="E211" s="197" t="s">
        <v>784</v>
      </c>
      <c r="F211" s="197">
        <v>14424</v>
      </c>
      <c r="G211" t="str">
        <f>LOOKUP(B211,ΠΕΡΙΦΕΡΕΙΑ!$A$2:$A$14,ΠΕΡΙΦΕΡΕΙΑ!$B$2:$B$14)</f>
        <v>Ολική</v>
      </c>
      <c r="H211" t="str">
        <f t="shared" si="19"/>
        <v/>
      </c>
      <c r="I211" t="e">
        <f t="shared" si="20"/>
        <v>#NUM!</v>
      </c>
      <c r="J211" t="str">
        <f t="shared" si="21"/>
        <v/>
      </c>
      <c r="K211" t="str">
        <f t="shared" si="22"/>
        <v/>
      </c>
      <c r="L211" s="163" t="s">
        <v>420</v>
      </c>
      <c r="M211" t="str">
        <f t="shared" si="18"/>
        <v/>
      </c>
      <c r="N211"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12" spans="1:14" x14ac:dyDescent="0.25">
      <c r="A212">
        <v>211</v>
      </c>
      <c r="B212" t="s">
        <v>410</v>
      </c>
      <c r="C212" t="s">
        <v>250</v>
      </c>
      <c r="D212" t="s">
        <v>250</v>
      </c>
      <c r="E212" s="197" t="s">
        <v>785</v>
      </c>
      <c r="F212" s="197">
        <v>14454</v>
      </c>
      <c r="G212" t="str">
        <f>LOOKUP(B212,ΠΕΡΙΦΕΡΕΙΑ!$A$2:$A$14,ΠΕΡΙΦΕΡΕΙΑ!$B$2:$B$14)</f>
        <v>Ολική</v>
      </c>
      <c r="H212" t="str">
        <f t="shared" si="19"/>
        <v/>
      </c>
      <c r="I212" t="e">
        <f t="shared" si="20"/>
        <v>#NUM!</v>
      </c>
      <c r="J212" t="str">
        <f t="shared" si="21"/>
        <v/>
      </c>
      <c r="K212" t="str">
        <f t="shared" si="22"/>
        <v/>
      </c>
      <c r="L212" s="163" t="s">
        <v>420</v>
      </c>
      <c r="M212" t="str">
        <f t="shared" si="18"/>
        <v/>
      </c>
      <c r="N212"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13" spans="1:14" x14ac:dyDescent="0.25">
      <c r="A213">
        <v>212</v>
      </c>
      <c r="B213" t="s">
        <v>410</v>
      </c>
      <c r="C213" t="s">
        <v>387</v>
      </c>
      <c r="D213" t="s">
        <v>256</v>
      </c>
      <c r="E213" s="197" t="s">
        <v>786</v>
      </c>
      <c r="F213" s="197">
        <v>14456</v>
      </c>
      <c r="G213" t="str">
        <f>LOOKUP(B213,ΠΕΡΙΦΕΡΕΙΑ!$A$2:$A$14,ΠΕΡΙΦΕΡΕΙΑ!$B$2:$B$14)</f>
        <v>Ολική</v>
      </c>
      <c r="H213" t="str">
        <f t="shared" si="19"/>
        <v/>
      </c>
      <c r="I213" t="e">
        <f t="shared" si="20"/>
        <v>#NUM!</v>
      </c>
      <c r="J213" t="str">
        <f t="shared" si="21"/>
        <v/>
      </c>
      <c r="K213" t="str">
        <f t="shared" si="22"/>
        <v/>
      </c>
      <c r="L213" s="163" t="s">
        <v>420</v>
      </c>
      <c r="M213" t="str">
        <f t="shared" si="18"/>
        <v/>
      </c>
      <c r="N213"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14" spans="1:14" x14ac:dyDescent="0.25">
      <c r="A214">
        <v>213</v>
      </c>
      <c r="B214" t="s">
        <v>410</v>
      </c>
      <c r="C214" t="s">
        <v>250</v>
      </c>
      <c r="D214" t="s">
        <v>251</v>
      </c>
      <c r="E214" s="197" t="s">
        <v>787</v>
      </c>
      <c r="F214" s="197">
        <v>14462</v>
      </c>
      <c r="G214" t="str">
        <f>LOOKUP(B214,ΠΕΡΙΦΕΡΕΙΑ!$A$2:$A$14,ΠΕΡΙΦΕΡΕΙΑ!$B$2:$B$14)</f>
        <v>Ολική</v>
      </c>
      <c r="H214" t="str">
        <f t="shared" si="19"/>
        <v/>
      </c>
      <c r="I214" t="e">
        <f t="shared" si="20"/>
        <v>#NUM!</v>
      </c>
      <c r="J214" t="str">
        <f t="shared" si="21"/>
        <v/>
      </c>
      <c r="K214" t="str">
        <f t="shared" si="22"/>
        <v/>
      </c>
      <c r="L214" s="163" t="s">
        <v>420</v>
      </c>
      <c r="M214" t="str">
        <f t="shared" si="18"/>
        <v/>
      </c>
      <c r="N214"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15" spans="1:14" x14ac:dyDescent="0.25">
      <c r="A215">
        <v>214</v>
      </c>
      <c r="B215" t="s">
        <v>410</v>
      </c>
      <c r="C215" t="s">
        <v>240</v>
      </c>
      <c r="D215" t="s">
        <v>241</v>
      </c>
      <c r="E215" s="197" t="s">
        <v>788</v>
      </c>
      <c r="F215" s="197">
        <v>14472</v>
      </c>
      <c r="G215" t="str">
        <f>LOOKUP(B215,ΠΕΡΙΦΕΡΕΙΑ!$A$2:$A$14,ΠΕΡΙΦΕΡΕΙΑ!$B$2:$B$14)</f>
        <v>Ολική</v>
      </c>
      <c r="H215" t="str">
        <f t="shared" si="19"/>
        <v/>
      </c>
      <c r="I215" t="e">
        <f t="shared" si="20"/>
        <v>#NUM!</v>
      </c>
      <c r="J215" t="str">
        <f t="shared" si="21"/>
        <v/>
      </c>
      <c r="K215" t="str">
        <f t="shared" si="22"/>
        <v/>
      </c>
      <c r="L215" s="163" t="s">
        <v>420</v>
      </c>
      <c r="M215" t="str">
        <f t="shared" si="18"/>
        <v/>
      </c>
      <c r="N215"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16" spans="1:14" x14ac:dyDescent="0.25">
      <c r="A216">
        <v>215</v>
      </c>
      <c r="B216" t="s">
        <v>410</v>
      </c>
      <c r="C216" t="s">
        <v>227</v>
      </c>
      <c r="D216" t="s">
        <v>234</v>
      </c>
      <c r="E216" s="197" t="s">
        <v>789</v>
      </c>
      <c r="F216" s="197">
        <v>14544</v>
      </c>
      <c r="G216" t="str">
        <f>LOOKUP(B216,ΠΕΡΙΦΕΡΕΙΑ!$A$2:$A$14,ΠΕΡΙΦΕΡΕΙΑ!$B$2:$B$14)</f>
        <v>Ολική</v>
      </c>
      <c r="H216" t="str">
        <f t="shared" si="19"/>
        <v/>
      </c>
      <c r="I216" t="e">
        <f t="shared" si="20"/>
        <v>#NUM!</v>
      </c>
      <c r="J216" t="str">
        <f t="shared" si="21"/>
        <v/>
      </c>
      <c r="K216" t="str">
        <f t="shared" si="22"/>
        <v/>
      </c>
      <c r="L216" s="163" t="s">
        <v>420</v>
      </c>
      <c r="M216" t="str">
        <f t="shared" si="18"/>
        <v/>
      </c>
      <c r="N216"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17" spans="1:14" x14ac:dyDescent="0.25">
      <c r="A217">
        <v>216</v>
      </c>
      <c r="B217" t="s">
        <v>410</v>
      </c>
      <c r="C217" t="s">
        <v>227</v>
      </c>
      <c r="D217" t="s">
        <v>235</v>
      </c>
      <c r="E217" s="197" t="s">
        <v>790</v>
      </c>
      <c r="F217" s="197">
        <v>14534</v>
      </c>
      <c r="G217" t="str">
        <f>LOOKUP(B217,ΠΕΡΙΦΕΡΕΙΑ!$A$2:$A$14,ΠΕΡΙΦΕΡΕΙΑ!$B$2:$B$14)</f>
        <v>Ολική</v>
      </c>
      <c r="H217" t="str">
        <f t="shared" si="19"/>
        <v/>
      </c>
      <c r="I217" t="e">
        <f t="shared" si="20"/>
        <v>#NUM!</v>
      </c>
      <c r="J217" t="str">
        <f t="shared" si="21"/>
        <v/>
      </c>
      <c r="K217" t="str">
        <f t="shared" si="22"/>
        <v/>
      </c>
      <c r="L217" s="163" t="s">
        <v>420</v>
      </c>
      <c r="M217" t="str">
        <f t="shared" si="18"/>
        <v/>
      </c>
      <c r="N217"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18" spans="1:14" x14ac:dyDescent="0.25">
      <c r="A218">
        <v>217</v>
      </c>
      <c r="B218" t="s">
        <v>411</v>
      </c>
      <c r="C218" t="s">
        <v>389</v>
      </c>
      <c r="D218" t="s">
        <v>268</v>
      </c>
      <c r="E218" s="197" t="s">
        <v>791</v>
      </c>
      <c r="F218" s="197">
        <v>14554</v>
      </c>
      <c r="G218" t="str">
        <f>LOOKUP(B218,ΠΕΡΙΦΕΡΕΙΑ!$A$2:$A$14,ΠΕΡΙΦΕΡΕΙΑ!$B$2:$B$14)</f>
        <v>Ολική</v>
      </c>
      <c r="H218" t="str">
        <f t="shared" si="19"/>
        <v/>
      </c>
      <c r="I218" t="e">
        <f t="shared" si="20"/>
        <v>#NUM!</v>
      </c>
      <c r="J218" t="str">
        <f t="shared" si="21"/>
        <v/>
      </c>
      <c r="K218" t="str">
        <f t="shared" si="22"/>
        <v/>
      </c>
      <c r="L218" s="163" t="s">
        <v>420</v>
      </c>
      <c r="M218" t="str">
        <f t="shared" si="18"/>
        <v/>
      </c>
      <c r="N218"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19" spans="1:14" x14ac:dyDescent="0.25">
      <c r="A219">
        <v>218</v>
      </c>
      <c r="B219" t="s">
        <v>411</v>
      </c>
      <c r="C219" t="s">
        <v>388</v>
      </c>
      <c r="D219" t="s">
        <v>264</v>
      </c>
      <c r="E219" s="197" t="s">
        <v>792</v>
      </c>
      <c r="F219" s="197">
        <v>13930</v>
      </c>
      <c r="G219" t="str">
        <f>LOOKUP(B219,ΠΕΡΙΦΕΡΕΙΑ!$A$2:$A$14,ΠΕΡΙΦΕΡΕΙΑ!$B$2:$B$14)</f>
        <v>Ολική</v>
      </c>
      <c r="H219" t="str">
        <f t="shared" si="19"/>
        <v/>
      </c>
      <c r="I219" t="e">
        <f t="shared" si="20"/>
        <v>#NUM!</v>
      </c>
      <c r="J219" t="str">
        <f t="shared" si="21"/>
        <v/>
      </c>
      <c r="K219" t="str">
        <f t="shared" si="22"/>
        <v/>
      </c>
      <c r="L219" s="163" t="s">
        <v>420</v>
      </c>
      <c r="M219" t="str">
        <f t="shared" si="18"/>
        <v/>
      </c>
      <c r="N219"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20" spans="1:14" x14ac:dyDescent="0.25">
      <c r="A220">
        <v>219</v>
      </c>
      <c r="B220" t="s">
        <v>411</v>
      </c>
      <c r="C220" t="s">
        <v>389</v>
      </c>
      <c r="D220" t="s">
        <v>269</v>
      </c>
      <c r="E220" s="197" t="s">
        <v>793</v>
      </c>
      <c r="F220" s="197">
        <v>13962</v>
      </c>
      <c r="G220" t="str">
        <f>LOOKUP(B220,ΠΕΡΙΦΕΡΕΙΑ!$A$2:$A$14,ΠΕΡΙΦΕΡΕΙΑ!$B$2:$B$14)</f>
        <v>Ολική</v>
      </c>
      <c r="H220" t="str">
        <f t="shared" si="19"/>
        <v/>
      </c>
      <c r="I220" t="e">
        <f t="shared" si="20"/>
        <v>#NUM!</v>
      </c>
      <c r="J220" t="str">
        <f t="shared" si="21"/>
        <v/>
      </c>
      <c r="K220" t="str">
        <f t="shared" si="22"/>
        <v/>
      </c>
      <c r="L220" s="163" t="s">
        <v>420</v>
      </c>
      <c r="M220" t="str">
        <f t="shared" si="18"/>
        <v/>
      </c>
      <c r="N220"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21" spans="1:14" x14ac:dyDescent="0.25">
      <c r="A221">
        <v>220</v>
      </c>
      <c r="B221" t="s">
        <v>411</v>
      </c>
      <c r="C221" t="s">
        <v>389</v>
      </c>
      <c r="D221" t="s">
        <v>270</v>
      </c>
      <c r="E221" s="197" t="s">
        <v>794</v>
      </c>
      <c r="F221" s="197">
        <v>13908</v>
      </c>
      <c r="G221" t="str">
        <f>LOOKUP(B221,ΠΕΡΙΦΕΡΕΙΑ!$A$2:$A$14,ΠΕΡΙΦΕΡΕΙΑ!$B$2:$B$14)</f>
        <v>Ολική</v>
      </c>
      <c r="H221" t="str">
        <f t="shared" si="19"/>
        <v/>
      </c>
      <c r="I221" t="e">
        <f t="shared" si="20"/>
        <v>#NUM!</v>
      </c>
      <c r="J221" t="str">
        <f t="shared" si="21"/>
        <v/>
      </c>
      <c r="K221" t="str">
        <f t="shared" si="22"/>
        <v/>
      </c>
      <c r="L221" s="163" t="s">
        <v>420</v>
      </c>
      <c r="M221" t="str">
        <f t="shared" si="18"/>
        <v/>
      </c>
      <c r="N221"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22" spans="1:14" x14ac:dyDescent="0.25">
      <c r="A222">
        <v>221</v>
      </c>
      <c r="B222" t="s">
        <v>411</v>
      </c>
      <c r="C222" t="s">
        <v>279</v>
      </c>
      <c r="D222" t="s">
        <v>273</v>
      </c>
      <c r="E222" s="197" t="s">
        <v>795</v>
      </c>
      <c r="F222" s="197">
        <v>13990</v>
      </c>
      <c r="G222" t="str">
        <f>LOOKUP(B222,ΠΕΡΙΦΕΡΕΙΑ!$A$2:$A$14,ΠΕΡΙΦΕΡΕΙΑ!$B$2:$B$14)</f>
        <v>Ολική</v>
      </c>
      <c r="H222" t="str">
        <f t="shared" si="19"/>
        <v/>
      </c>
      <c r="I222" t="e">
        <f t="shared" si="20"/>
        <v>#NUM!</v>
      </c>
      <c r="J222" t="str">
        <f t="shared" si="21"/>
        <v/>
      </c>
      <c r="K222" t="str">
        <f t="shared" si="22"/>
        <v/>
      </c>
      <c r="L222" s="163" t="s">
        <v>420</v>
      </c>
      <c r="M222" t="str">
        <f t="shared" si="18"/>
        <v/>
      </c>
      <c r="N222"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23" spans="1:14" x14ac:dyDescent="0.25">
      <c r="A223">
        <v>222</v>
      </c>
      <c r="B223" t="s">
        <v>411</v>
      </c>
      <c r="C223" t="s">
        <v>79</v>
      </c>
      <c r="D223" t="s">
        <v>257</v>
      </c>
      <c r="E223" s="197" t="s">
        <v>796</v>
      </c>
      <c r="F223" s="197">
        <v>14002</v>
      </c>
      <c r="G223" t="str">
        <f>LOOKUP(B223,ΠΕΡΙΦΕΡΕΙΑ!$A$2:$A$14,ΠΕΡΙΦΕΡΕΙΑ!$B$2:$B$14)</f>
        <v>Ολική</v>
      </c>
      <c r="H223" t="str">
        <f t="shared" si="19"/>
        <v/>
      </c>
      <c r="I223" t="e">
        <f t="shared" si="20"/>
        <v>#NUM!</v>
      </c>
      <c r="J223" t="str">
        <f t="shared" si="21"/>
        <v/>
      </c>
      <c r="K223" t="str">
        <f t="shared" si="22"/>
        <v/>
      </c>
      <c r="L223" s="163" t="s">
        <v>420</v>
      </c>
      <c r="M223" t="str">
        <f t="shared" si="18"/>
        <v/>
      </c>
      <c r="N223"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24" spans="1:14" x14ac:dyDescent="0.25">
      <c r="A224">
        <v>223</v>
      </c>
      <c r="B224" t="s">
        <v>411</v>
      </c>
      <c r="C224" t="s">
        <v>79</v>
      </c>
      <c r="D224" t="s">
        <v>258</v>
      </c>
      <c r="E224" s="197" t="s">
        <v>797</v>
      </c>
      <c r="F224" s="197">
        <v>14016</v>
      </c>
      <c r="G224" t="str">
        <f>LOOKUP(B224,ΠΕΡΙΦΕΡΕΙΑ!$A$2:$A$14,ΠΕΡΙΦΕΡΕΙΑ!$B$2:$B$14)</f>
        <v>Ολική</v>
      </c>
      <c r="H224" t="str">
        <f t="shared" si="19"/>
        <v/>
      </c>
      <c r="I224" t="e">
        <f t="shared" si="20"/>
        <v>#NUM!</v>
      </c>
      <c r="J224" t="str">
        <f t="shared" si="21"/>
        <v/>
      </c>
      <c r="K224" t="str">
        <f t="shared" si="22"/>
        <v/>
      </c>
      <c r="L224" s="163" t="s">
        <v>420</v>
      </c>
      <c r="M224" t="str">
        <f t="shared" si="18"/>
        <v/>
      </c>
      <c r="N224"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25" spans="1:14" x14ac:dyDescent="0.25">
      <c r="A225">
        <v>224</v>
      </c>
      <c r="B225" t="s">
        <v>411</v>
      </c>
      <c r="C225" t="s">
        <v>279</v>
      </c>
      <c r="D225" t="s">
        <v>274</v>
      </c>
      <c r="E225" s="197" t="s">
        <v>798</v>
      </c>
      <c r="F225" s="197">
        <v>14026</v>
      </c>
      <c r="G225" t="str">
        <f>LOOKUP(B225,ΠΕΡΙΦΕΡΕΙΑ!$A$2:$A$14,ΠΕΡΙΦΕΡΕΙΑ!$B$2:$B$14)</f>
        <v>Ολική</v>
      </c>
      <c r="H225" t="str">
        <f t="shared" si="19"/>
        <v/>
      </c>
      <c r="I225" t="e">
        <f t="shared" si="20"/>
        <v>#NUM!</v>
      </c>
      <c r="J225" t="str">
        <f t="shared" si="21"/>
        <v/>
      </c>
      <c r="K225" t="str">
        <f t="shared" si="22"/>
        <v/>
      </c>
      <c r="L225" s="163" t="s">
        <v>420</v>
      </c>
      <c r="M225" t="str">
        <f t="shared" si="18"/>
        <v/>
      </c>
      <c r="N225"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26" spans="1:14" x14ac:dyDescent="0.25">
      <c r="A226">
        <v>225</v>
      </c>
      <c r="B226" t="s">
        <v>411</v>
      </c>
      <c r="C226" t="s">
        <v>79</v>
      </c>
      <c r="D226" t="s">
        <v>259</v>
      </c>
      <c r="E226" s="197" t="s">
        <v>799</v>
      </c>
      <c r="F226" s="197">
        <v>14044</v>
      </c>
      <c r="G226" t="str">
        <f>LOOKUP(B226,ΠΕΡΙΦΕΡΕΙΑ!$A$2:$A$14,ΠΕΡΙΦΕΡΕΙΑ!$B$2:$B$14)</f>
        <v>Ολική</v>
      </c>
      <c r="H226" t="str">
        <f t="shared" si="19"/>
        <v/>
      </c>
      <c r="I226" t="e">
        <f t="shared" si="20"/>
        <v>#NUM!</v>
      </c>
      <c r="J226" t="str">
        <f t="shared" si="21"/>
        <v/>
      </c>
      <c r="K226" t="str">
        <f t="shared" si="22"/>
        <v/>
      </c>
      <c r="L226" s="163" t="s">
        <v>420</v>
      </c>
      <c r="M226" t="str">
        <f t="shared" si="18"/>
        <v/>
      </c>
      <c r="N226"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27" spans="1:14" x14ac:dyDescent="0.25">
      <c r="A227">
        <v>226</v>
      </c>
      <c r="B227" t="s">
        <v>411</v>
      </c>
      <c r="C227" t="s">
        <v>79</v>
      </c>
      <c r="D227" t="s">
        <v>79</v>
      </c>
      <c r="E227" s="197" t="s">
        <v>800</v>
      </c>
      <c r="F227" s="197">
        <v>14122</v>
      </c>
      <c r="G227" t="str">
        <f>LOOKUP(B227,ΠΕΡΙΦΕΡΕΙΑ!$A$2:$A$14,ΠΕΡΙΦΕΡΕΙΑ!$B$2:$B$14)</f>
        <v>Ολική</v>
      </c>
      <c r="H227" t="str">
        <f t="shared" si="19"/>
        <v/>
      </c>
      <c r="I227" t="e">
        <f t="shared" si="20"/>
        <v>#NUM!</v>
      </c>
      <c r="J227" t="str">
        <f t="shared" si="21"/>
        <v/>
      </c>
      <c r="K227" t="str">
        <f t="shared" si="22"/>
        <v/>
      </c>
      <c r="L227" s="163" t="s">
        <v>420</v>
      </c>
      <c r="M227" t="str">
        <f t="shared" si="18"/>
        <v/>
      </c>
      <c r="N227"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28" spans="1:14" x14ac:dyDescent="0.25">
      <c r="A228">
        <v>227</v>
      </c>
      <c r="B228" t="s">
        <v>411</v>
      </c>
      <c r="C228" t="s">
        <v>388</v>
      </c>
      <c r="D228" t="s">
        <v>265</v>
      </c>
      <c r="E228" s="197" t="s">
        <v>801</v>
      </c>
      <c r="F228" s="197">
        <v>14134</v>
      </c>
      <c r="G228" t="str">
        <f>LOOKUP(B228,ΠΕΡΙΦΕΡΕΙΑ!$A$2:$A$14,ΠΕΡΙΦΕΡΕΙΑ!$B$2:$B$14)</f>
        <v>Ολική</v>
      </c>
      <c r="H228" t="str">
        <f t="shared" si="19"/>
        <v/>
      </c>
      <c r="I228" t="e">
        <f t="shared" si="20"/>
        <v>#NUM!</v>
      </c>
      <c r="J228" t="str">
        <f t="shared" si="21"/>
        <v/>
      </c>
      <c r="K228" t="str">
        <f t="shared" si="22"/>
        <v/>
      </c>
      <c r="L228" s="163" t="s">
        <v>420</v>
      </c>
      <c r="M228" t="str">
        <f t="shared" si="18"/>
        <v/>
      </c>
      <c r="N228"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29" spans="1:14" x14ac:dyDescent="0.25">
      <c r="A229">
        <v>228</v>
      </c>
      <c r="B229" t="s">
        <v>411</v>
      </c>
      <c r="C229" t="s">
        <v>279</v>
      </c>
      <c r="D229" t="s">
        <v>275</v>
      </c>
      <c r="E229" s="197" t="s">
        <v>802</v>
      </c>
      <c r="F229" s="197">
        <v>14186</v>
      </c>
      <c r="G229" t="str">
        <f>LOOKUP(B229,ΠΕΡΙΦΕΡΕΙΑ!$A$2:$A$14,ΠΕΡΙΦΕΡΕΙΑ!$B$2:$B$14)</f>
        <v>Ολική</v>
      </c>
      <c r="H229" t="str">
        <f t="shared" si="19"/>
        <v/>
      </c>
      <c r="I229" t="e">
        <f t="shared" si="20"/>
        <v>#NUM!</v>
      </c>
      <c r="J229" t="str">
        <f t="shared" si="21"/>
        <v/>
      </c>
      <c r="K229" t="str">
        <f t="shared" si="22"/>
        <v/>
      </c>
      <c r="L229" s="163" t="s">
        <v>420</v>
      </c>
      <c r="M229" t="str">
        <f t="shared" si="18"/>
        <v/>
      </c>
      <c r="N229"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30" spans="1:14" x14ac:dyDescent="0.25">
      <c r="A230">
        <v>229</v>
      </c>
      <c r="B230" t="s">
        <v>411</v>
      </c>
      <c r="C230" t="s">
        <v>279</v>
      </c>
      <c r="D230" t="s">
        <v>276</v>
      </c>
      <c r="E230" s="197" t="s">
        <v>803</v>
      </c>
      <c r="F230" s="197">
        <v>14216</v>
      </c>
      <c r="G230" t="str">
        <f>LOOKUP(B230,ΠΕΡΙΦΕΡΕΙΑ!$A$2:$A$14,ΠΕΡΙΦΕΡΕΙΑ!$B$2:$B$14)</f>
        <v>Ολική</v>
      </c>
      <c r="H230" t="str">
        <f t="shared" si="19"/>
        <v/>
      </c>
      <c r="I230" t="e">
        <f t="shared" si="20"/>
        <v>#NUM!</v>
      </c>
      <c r="J230" t="str">
        <f t="shared" si="21"/>
        <v/>
      </c>
      <c r="K230" t="str">
        <f t="shared" si="22"/>
        <v/>
      </c>
      <c r="L230" s="163" t="s">
        <v>420</v>
      </c>
      <c r="M230" t="str">
        <f t="shared" si="18"/>
        <v/>
      </c>
      <c r="N230"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31" spans="1:14" x14ac:dyDescent="0.25">
      <c r="A231">
        <v>230</v>
      </c>
      <c r="B231" t="s">
        <v>411</v>
      </c>
      <c r="C231" t="s">
        <v>79</v>
      </c>
      <c r="D231" t="s">
        <v>260</v>
      </c>
      <c r="E231" s="197" t="s">
        <v>804</v>
      </c>
      <c r="F231" s="197">
        <v>14264</v>
      </c>
      <c r="G231" t="str">
        <f>LOOKUP(B231,ΠΕΡΙΦΕΡΕΙΑ!$A$2:$A$14,ΠΕΡΙΦΕΡΕΙΑ!$B$2:$B$14)</f>
        <v>Ολική</v>
      </c>
      <c r="H231" t="str">
        <f t="shared" si="19"/>
        <v/>
      </c>
      <c r="I231" t="e">
        <f t="shared" si="20"/>
        <v>#NUM!</v>
      </c>
      <c r="J231" t="str">
        <f t="shared" si="21"/>
        <v/>
      </c>
      <c r="K231" t="str">
        <f t="shared" si="22"/>
        <v/>
      </c>
      <c r="L231" s="163" t="s">
        <v>420</v>
      </c>
      <c r="M231" t="str">
        <f t="shared" si="18"/>
        <v/>
      </c>
      <c r="N231"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32" spans="1:14" x14ac:dyDescent="0.25">
      <c r="A232">
        <v>231</v>
      </c>
      <c r="B232" t="s">
        <v>411</v>
      </c>
      <c r="C232" t="s">
        <v>79</v>
      </c>
      <c r="D232" t="s">
        <v>261</v>
      </c>
      <c r="E232" s="197" t="s">
        <v>805</v>
      </c>
      <c r="F232" s="197">
        <v>14298</v>
      </c>
      <c r="G232" t="str">
        <f>LOOKUP(B232,ΠΕΡΙΦΕΡΕΙΑ!$A$2:$A$14,ΠΕΡΙΦΕΡΕΙΑ!$B$2:$B$14)</f>
        <v>Ολική</v>
      </c>
      <c r="H232" t="str">
        <f t="shared" si="19"/>
        <v/>
      </c>
      <c r="I232" t="e">
        <f t="shared" si="20"/>
        <v>#NUM!</v>
      </c>
      <c r="J232" t="str">
        <f t="shared" si="21"/>
        <v/>
      </c>
      <c r="K232" t="str">
        <f t="shared" si="22"/>
        <v/>
      </c>
      <c r="L232" s="163" t="s">
        <v>420</v>
      </c>
      <c r="M232" t="str">
        <f t="shared" si="18"/>
        <v/>
      </c>
      <c r="N232"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33" spans="1:14" x14ac:dyDescent="0.25">
      <c r="A233">
        <v>232</v>
      </c>
      <c r="B233" t="s">
        <v>411</v>
      </c>
      <c r="C233" t="s">
        <v>389</v>
      </c>
      <c r="D233" t="s">
        <v>271</v>
      </c>
      <c r="E233" s="197" t="s">
        <v>806</v>
      </c>
      <c r="F233" s="197">
        <v>14270</v>
      </c>
      <c r="G233" t="str">
        <f>LOOKUP(B233,ΠΕΡΙΦΕΡΕΙΑ!$A$2:$A$14,ΠΕΡΙΦΕΡΕΙΑ!$B$2:$B$14)</f>
        <v>Ολική</v>
      </c>
      <c r="H233" t="str">
        <f t="shared" si="19"/>
        <v/>
      </c>
      <c r="I233" t="e">
        <f t="shared" si="20"/>
        <v>#NUM!</v>
      </c>
      <c r="J233" t="str">
        <f t="shared" si="21"/>
        <v/>
      </c>
      <c r="K233" t="str">
        <f t="shared" si="22"/>
        <v/>
      </c>
      <c r="L233" s="163" t="s">
        <v>420</v>
      </c>
      <c r="M233" t="str">
        <f t="shared" si="18"/>
        <v/>
      </c>
      <c r="N233"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34" spans="1:14" x14ac:dyDescent="0.25">
      <c r="A234">
        <v>233</v>
      </c>
      <c r="B234" t="s">
        <v>411</v>
      </c>
      <c r="C234" t="s">
        <v>388</v>
      </c>
      <c r="D234" t="s">
        <v>266</v>
      </c>
      <c r="E234" s="197" t="s">
        <v>807</v>
      </c>
      <c r="F234" s="197">
        <v>14358</v>
      </c>
      <c r="G234" t="str">
        <f>LOOKUP(B234,ΠΕΡΙΦΕΡΕΙΑ!$A$2:$A$14,ΠΕΡΙΦΕΡΕΙΑ!$B$2:$B$14)</f>
        <v>Ολική</v>
      </c>
      <c r="H234" t="str">
        <f t="shared" si="19"/>
        <v/>
      </c>
      <c r="I234" t="e">
        <f t="shared" si="20"/>
        <v>#NUM!</v>
      </c>
      <c r="J234" t="str">
        <f t="shared" si="21"/>
        <v/>
      </c>
      <c r="K234" t="str">
        <f t="shared" si="22"/>
        <v/>
      </c>
      <c r="L234" s="163" t="s">
        <v>420</v>
      </c>
      <c r="M234" t="str">
        <f t="shared" si="18"/>
        <v/>
      </c>
      <c r="N234"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35" spans="1:14" x14ac:dyDescent="0.25">
      <c r="A235">
        <v>234</v>
      </c>
      <c r="B235" t="s">
        <v>411</v>
      </c>
      <c r="C235" t="s">
        <v>279</v>
      </c>
      <c r="D235" t="s">
        <v>277</v>
      </c>
      <c r="E235" s="197" t="s">
        <v>808</v>
      </c>
      <c r="F235" s="197">
        <v>14412</v>
      </c>
      <c r="G235" t="str">
        <f>LOOKUP(B235,ΠΕΡΙΦΕΡΕΙΑ!$A$2:$A$14,ΠΕΡΙΦΕΡΕΙΑ!$B$2:$B$14)</f>
        <v>Ολική</v>
      </c>
      <c r="H235" t="str">
        <f t="shared" si="19"/>
        <v/>
      </c>
      <c r="I235" t="e">
        <f t="shared" si="20"/>
        <v>#NUM!</v>
      </c>
      <c r="J235" t="str">
        <f t="shared" si="21"/>
        <v/>
      </c>
      <c r="K235" t="str">
        <f t="shared" si="22"/>
        <v/>
      </c>
      <c r="L235" s="163" t="s">
        <v>420</v>
      </c>
      <c r="M235" t="str">
        <f t="shared" si="18"/>
        <v/>
      </c>
      <c r="N235"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36" spans="1:14" x14ac:dyDescent="0.25">
      <c r="A236">
        <v>235</v>
      </c>
      <c r="B236" t="s">
        <v>411</v>
      </c>
      <c r="C236" t="s">
        <v>389</v>
      </c>
      <c r="D236" t="s">
        <v>272</v>
      </c>
      <c r="E236" s="197" t="s">
        <v>809</v>
      </c>
      <c r="F236" s="197">
        <v>14428</v>
      </c>
      <c r="G236" t="str">
        <f>LOOKUP(B236,ΠΕΡΙΦΕΡΕΙΑ!$A$2:$A$14,ΠΕΡΙΦΕΡΕΙΑ!$B$2:$B$14)</f>
        <v>Ολική</v>
      </c>
      <c r="H236" t="str">
        <f t="shared" si="19"/>
        <v/>
      </c>
      <c r="I236" t="e">
        <f t="shared" si="20"/>
        <v>#NUM!</v>
      </c>
      <c r="J236" t="str">
        <f t="shared" si="21"/>
        <v/>
      </c>
      <c r="K236" t="str">
        <f t="shared" si="22"/>
        <v/>
      </c>
      <c r="L236" s="163" t="s">
        <v>420</v>
      </c>
      <c r="M236" t="str">
        <f t="shared" si="18"/>
        <v/>
      </c>
      <c r="N236"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37" spans="1:14" x14ac:dyDescent="0.25">
      <c r="A237">
        <v>236</v>
      </c>
      <c r="B237" t="s">
        <v>411</v>
      </c>
      <c r="C237" t="s">
        <v>388</v>
      </c>
      <c r="D237" t="s">
        <v>267</v>
      </c>
      <c r="E237" s="197" t="s">
        <v>810</v>
      </c>
      <c r="F237" s="197">
        <v>14452</v>
      </c>
      <c r="G237" t="str">
        <f>LOOKUP(B237,ΠΕΡΙΦΕΡΕΙΑ!$A$2:$A$14,ΠΕΡΙΦΕΡΕΙΑ!$B$2:$B$14)</f>
        <v>Ολική</v>
      </c>
      <c r="H237" t="str">
        <f t="shared" si="19"/>
        <v/>
      </c>
      <c r="I237" t="e">
        <f t="shared" si="20"/>
        <v>#NUM!</v>
      </c>
      <c r="J237" t="str">
        <f t="shared" si="21"/>
        <v/>
      </c>
      <c r="K237" t="str">
        <f t="shared" si="22"/>
        <v/>
      </c>
      <c r="L237" s="163" t="s">
        <v>420</v>
      </c>
      <c r="M237" t="str">
        <f t="shared" si="18"/>
        <v/>
      </c>
      <c r="N237"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38" spans="1:14" x14ac:dyDescent="0.25">
      <c r="A238">
        <v>237</v>
      </c>
      <c r="B238" t="s">
        <v>411</v>
      </c>
      <c r="C238" t="s">
        <v>279</v>
      </c>
      <c r="D238" t="s">
        <v>278</v>
      </c>
      <c r="E238" s="197" t="s">
        <v>811</v>
      </c>
      <c r="F238" s="197">
        <v>14442</v>
      </c>
      <c r="G238" t="str">
        <f>LOOKUP(B238,ΠΕΡΙΦΕΡΕΙΑ!$A$2:$A$14,ΠΕΡΙΦΕΡΕΙΑ!$B$2:$B$14)</f>
        <v>Ολική</v>
      </c>
      <c r="H238" t="str">
        <f t="shared" si="19"/>
        <v/>
      </c>
      <c r="I238" t="e">
        <f t="shared" si="20"/>
        <v>#NUM!</v>
      </c>
      <c r="J238" t="str">
        <f t="shared" si="21"/>
        <v/>
      </c>
      <c r="K238" t="str">
        <f t="shared" si="22"/>
        <v/>
      </c>
      <c r="L238" s="163" t="s">
        <v>420</v>
      </c>
      <c r="M238" t="str">
        <f t="shared" si="18"/>
        <v/>
      </c>
      <c r="N238"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39" spans="1:14" x14ac:dyDescent="0.25">
      <c r="A239">
        <v>238</v>
      </c>
      <c r="B239" t="s">
        <v>411</v>
      </c>
      <c r="C239" t="s">
        <v>79</v>
      </c>
      <c r="D239" t="s">
        <v>262</v>
      </c>
      <c r="E239" s="197" t="s">
        <v>812</v>
      </c>
      <c r="F239" s="197">
        <v>14510</v>
      </c>
      <c r="G239" t="str">
        <f>LOOKUP(B239,ΠΕΡΙΦΕΡΕΙΑ!$A$2:$A$14,ΠΕΡΙΦΕΡΕΙΑ!$B$2:$B$14)</f>
        <v>Ολική</v>
      </c>
      <c r="H239" t="str">
        <f t="shared" si="19"/>
        <v/>
      </c>
      <c r="I239" t="e">
        <f t="shared" si="20"/>
        <v>#NUM!</v>
      </c>
      <c r="J239" t="str">
        <f t="shared" si="21"/>
        <v/>
      </c>
      <c r="K239" t="str">
        <f t="shared" si="22"/>
        <v/>
      </c>
      <c r="L239" s="163" t="s">
        <v>420</v>
      </c>
      <c r="M239" t="str">
        <f t="shared" si="18"/>
        <v/>
      </c>
      <c r="N239"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40" spans="1:14" x14ac:dyDescent="0.25">
      <c r="A240">
        <v>239</v>
      </c>
      <c r="B240" t="s">
        <v>411</v>
      </c>
      <c r="C240" t="s">
        <v>279</v>
      </c>
      <c r="D240" t="s">
        <v>279</v>
      </c>
      <c r="E240" s="197" t="s">
        <v>813</v>
      </c>
      <c r="F240" s="197">
        <v>14532</v>
      </c>
      <c r="G240" t="str">
        <f>LOOKUP(B240,ΠΕΡΙΦΕΡΕΙΑ!$A$2:$A$14,ΠΕΡΙΦΕΡΕΙΑ!$B$2:$B$14)</f>
        <v>Ολική</v>
      </c>
      <c r="H240" t="str">
        <f t="shared" si="19"/>
        <v/>
      </c>
      <c r="I240" t="e">
        <f t="shared" si="20"/>
        <v>#NUM!</v>
      </c>
      <c r="J240" t="str">
        <f t="shared" si="21"/>
        <v/>
      </c>
      <c r="K240" t="str">
        <f t="shared" si="22"/>
        <v/>
      </c>
      <c r="L240" s="163" t="s">
        <v>420</v>
      </c>
      <c r="M240" t="str">
        <f t="shared" si="18"/>
        <v/>
      </c>
      <c r="N240"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41" spans="1:14" x14ac:dyDescent="0.25">
      <c r="A241">
        <v>240</v>
      </c>
      <c r="B241" t="s">
        <v>411</v>
      </c>
      <c r="C241" t="s">
        <v>79</v>
      </c>
      <c r="D241" t="s">
        <v>263</v>
      </c>
      <c r="E241" s="197" t="s">
        <v>814</v>
      </c>
      <c r="F241" s="197">
        <v>14540</v>
      </c>
      <c r="G241" t="str">
        <f>LOOKUP(B241,ΠΕΡΙΦΕΡΕΙΑ!$A$2:$A$14,ΠΕΡΙΦΕΡΕΙΑ!$B$2:$B$14)</f>
        <v>Ολική</v>
      </c>
      <c r="H241" t="str">
        <f t="shared" si="19"/>
        <v/>
      </c>
      <c r="I241" t="e">
        <f t="shared" si="20"/>
        <v>#NUM!</v>
      </c>
      <c r="J241" t="str">
        <f t="shared" si="21"/>
        <v/>
      </c>
      <c r="K241" t="str">
        <f t="shared" si="22"/>
        <v/>
      </c>
      <c r="L241" s="163" t="s">
        <v>420</v>
      </c>
      <c r="M241" t="str">
        <f t="shared" si="18"/>
        <v/>
      </c>
      <c r="N241"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42" spans="1:14" x14ac:dyDescent="0.25">
      <c r="A242">
        <v>241</v>
      </c>
      <c r="B242" t="s">
        <v>412</v>
      </c>
      <c r="C242" t="s">
        <v>390</v>
      </c>
      <c r="D242" t="s">
        <v>286</v>
      </c>
      <c r="E242" s="197" t="s">
        <v>815</v>
      </c>
      <c r="F242" s="197">
        <v>13936</v>
      </c>
      <c r="G242" t="str">
        <f>LOOKUP(B242,ΠΕΡΙΦΕΡΕΙΑ!$A$2:$A$14,ΠΕΡΙΦΕΡΕΙΑ!$B$2:$B$14)</f>
        <v>Μερική</v>
      </c>
      <c r="H242">
        <f t="shared" si="19"/>
        <v>241</v>
      </c>
      <c r="I242" t="e">
        <f t="shared" si="20"/>
        <v>#NUM!</v>
      </c>
      <c r="J242" t="str">
        <f t="shared" si="21"/>
        <v/>
      </c>
      <c r="K242" t="str">
        <f t="shared" si="22"/>
        <v/>
      </c>
      <c r="L242" s="163" t="s">
        <v>420</v>
      </c>
      <c r="M242" t="str">
        <f t="shared" si="18"/>
        <v/>
      </c>
      <c r="N242"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43" spans="1:14" x14ac:dyDescent="0.25">
      <c r="A243">
        <v>242</v>
      </c>
      <c r="B243" t="s">
        <v>412</v>
      </c>
      <c r="C243" t="s">
        <v>392</v>
      </c>
      <c r="D243" t="s">
        <v>303</v>
      </c>
      <c r="E243" s="197" t="s">
        <v>816</v>
      </c>
      <c r="F243" s="197">
        <v>13966</v>
      </c>
      <c r="G243" t="str">
        <f>LOOKUP(B243,ΠΕΡΙΦΕΡΕΙΑ!$A$2:$A$14,ΠΕΡΙΦΕΡΕΙΑ!$B$2:$B$14)</f>
        <v>Μερική</v>
      </c>
      <c r="H243">
        <f t="shared" si="19"/>
        <v>242</v>
      </c>
      <c r="I243" t="e">
        <f t="shared" si="20"/>
        <v>#NUM!</v>
      </c>
      <c r="J243" t="str">
        <f t="shared" si="21"/>
        <v/>
      </c>
      <c r="K243" t="str">
        <f t="shared" si="22"/>
        <v/>
      </c>
      <c r="L243" s="163" t="s">
        <v>420</v>
      </c>
      <c r="M243" t="str">
        <f t="shared" si="18"/>
        <v/>
      </c>
      <c r="N243"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44" spans="1:14" x14ac:dyDescent="0.25">
      <c r="A244">
        <v>243</v>
      </c>
      <c r="B244" t="s">
        <v>412</v>
      </c>
      <c r="C244" t="s">
        <v>282</v>
      </c>
      <c r="D244" t="s">
        <v>281</v>
      </c>
      <c r="E244" s="197" t="s">
        <v>817</v>
      </c>
      <c r="F244" s="197">
        <v>13978</v>
      </c>
      <c r="G244" t="str">
        <f>LOOKUP(B244,ΠΕΡΙΦΕΡΕΙΑ!$A$2:$A$14,ΠΕΡΙΦΕΡΕΙΑ!$B$2:$B$14)</f>
        <v>Μερική</v>
      </c>
      <c r="H244">
        <f t="shared" si="19"/>
        <v>243</v>
      </c>
      <c r="I244" t="e">
        <f t="shared" si="20"/>
        <v>#NUM!</v>
      </c>
      <c r="J244" t="str">
        <f t="shared" si="21"/>
        <v/>
      </c>
      <c r="K244" t="str">
        <f t="shared" si="22"/>
        <v/>
      </c>
      <c r="L244" s="163" t="s">
        <v>420</v>
      </c>
      <c r="M244" t="str">
        <f t="shared" si="18"/>
        <v/>
      </c>
      <c r="N244"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45" spans="1:14" x14ac:dyDescent="0.25">
      <c r="A245">
        <v>244</v>
      </c>
      <c r="B245" t="s">
        <v>412</v>
      </c>
      <c r="C245" t="s">
        <v>280</v>
      </c>
      <c r="D245" t="s">
        <v>280</v>
      </c>
      <c r="E245" s="197" t="s">
        <v>818</v>
      </c>
      <c r="F245" s="197">
        <v>13988</v>
      </c>
      <c r="G245" t="str">
        <f>LOOKUP(B245,ΠΕΡΙΦΕΡΕΙΑ!$A$2:$A$14,ΠΕΡΙΦΕΡΕΙΑ!$B$2:$B$14)</f>
        <v>Μερική</v>
      </c>
      <c r="H245">
        <f t="shared" si="19"/>
        <v>244</v>
      </c>
      <c r="I245" t="e">
        <f t="shared" si="20"/>
        <v>#NUM!</v>
      </c>
      <c r="J245" t="str">
        <f t="shared" si="21"/>
        <v/>
      </c>
      <c r="K245" t="str">
        <f t="shared" si="22"/>
        <v/>
      </c>
      <c r="L245" s="163" t="s">
        <v>420</v>
      </c>
      <c r="M245" t="str">
        <f t="shared" si="18"/>
        <v/>
      </c>
      <c r="N245"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46" spans="1:14" x14ac:dyDescent="0.25">
      <c r="A246">
        <v>245</v>
      </c>
      <c r="B246" t="s">
        <v>412</v>
      </c>
      <c r="C246" t="s">
        <v>306</v>
      </c>
      <c r="D246" t="s">
        <v>305</v>
      </c>
      <c r="E246" s="197" t="s">
        <v>819</v>
      </c>
      <c r="F246" s="197">
        <v>13986</v>
      </c>
      <c r="G246" t="str">
        <f>LOOKUP(B246,ΠΕΡΙΦΕΡΕΙΑ!$A$2:$A$14,ΠΕΡΙΦΕΡΕΙΑ!$B$2:$B$14)</f>
        <v>Μερική</v>
      </c>
      <c r="H246">
        <f t="shared" si="19"/>
        <v>245</v>
      </c>
      <c r="I246" t="e">
        <f t="shared" si="20"/>
        <v>#NUM!</v>
      </c>
      <c r="J246" t="str">
        <f t="shared" si="21"/>
        <v/>
      </c>
      <c r="K246" t="str">
        <f t="shared" si="22"/>
        <v/>
      </c>
      <c r="L246" s="163" t="s">
        <v>420</v>
      </c>
      <c r="M246" t="str">
        <f t="shared" si="18"/>
        <v/>
      </c>
      <c r="N246"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47" spans="1:14" x14ac:dyDescent="0.25">
      <c r="A247">
        <v>246</v>
      </c>
      <c r="B247" t="s">
        <v>412</v>
      </c>
      <c r="C247" t="s">
        <v>390</v>
      </c>
      <c r="D247" t="s">
        <v>287</v>
      </c>
      <c r="E247" s="197" t="s">
        <v>820</v>
      </c>
      <c r="F247" s="197">
        <v>14006</v>
      </c>
      <c r="G247" t="str">
        <f>LOOKUP(B247,ΠΕΡΙΦΕΡΕΙΑ!$A$2:$A$14,ΠΕΡΙΦΕΡΕΙΑ!$B$2:$B$14)</f>
        <v>Μερική</v>
      </c>
      <c r="H247">
        <f t="shared" si="19"/>
        <v>246</v>
      </c>
      <c r="I247" t="e">
        <f t="shared" si="20"/>
        <v>#NUM!</v>
      </c>
      <c r="J247" t="str">
        <f t="shared" si="21"/>
        <v/>
      </c>
      <c r="K247" t="str">
        <f t="shared" si="22"/>
        <v/>
      </c>
      <c r="L247" s="163" t="s">
        <v>420</v>
      </c>
      <c r="M247" t="str">
        <f t="shared" si="18"/>
        <v/>
      </c>
      <c r="N247"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48" spans="1:14" x14ac:dyDescent="0.25">
      <c r="A248">
        <v>247</v>
      </c>
      <c r="B248" t="s">
        <v>412</v>
      </c>
      <c r="C248" t="s">
        <v>282</v>
      </c>
      <c r="D248" t="s">
        <v>282</v>
      </c>
      <c r="E248" s="197" t="s">
        <v>821</v>
      </c>
      <c r="F248" s="197">
        <v>14138</v>
      </c>
      <c r="G248" t="str">
        <f>LOOKUP(B248,ΠΕΡΙΦΕΡΕΙΑ!$A$2:$A$14,ΠΕΡΙΦΕΡΕΙΑ!$B$2:$B$14)</f>
        <v>Μερική</v>
      </c>
      <c r="H248">
        <f t="shared" si="19"/>
        <v>247</v>
      </c>
      <c r="I248" t="e">
        <f t="shared" si="20"/>
        <v>#NUM!</v>
      </c>
      <c r="J248" t="str">
        <f t="shared" si="21"/>
        <v/>
      </c>
      <c r="K248" t="str">
        <f t="shared" si="22"/>
        <v/>
      </c>
      <c r="L248" s="163" t="s">
        <v>420</v>
      </c>
      <c r="M248" t="str">
        <f t="shared" si="18"/>
        <v/>
      </c>
      <c r="N248"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49" spans="1:14" x14ac:dyDescent="0.25">
      <c r="A249">
        <v>248</v>
      </c>
      <c r="B249" t="s">
        <v>412</v>
      </c>
      <c r="C249" t="s">
        <v>282</v>
      </c>
      <c r="D249" t="s">
        <v>283</v>
      </c>
      <c r="E249" s="197" t="s">
        <v>822</v>
      </c>
      <c r="F249" s="197">
        <v>14144</v>
      </c>
      <c r="G249" t="str">
        <f>LOOKUP(B249,ΠΕΡΙΦΕΡΕΙΑ!$A$2:$A$14,ΠΕΡΙΦΕΡΕΙΑ!$B$2:$B$14)</f>
        <v>Μερική</v>
      </c>
      <c r="H249">
        <f t="shared" si="19"/>
        <v>248</v>
      </c>
      <c r="I249" t="e">
        <f t="shared" si="20"/>
        <v>#NUM!</v>
      </c>
      <c r="J249" t="str">
        <f t="shared" si="21"/>
        <v/>
      </c>
      <c r="K249" t="str">
        <f t="shared" si="22"/>
        <v/>
      </c>
      <c r="L249" s="163" t="s">
        <v>420</v>
      </c>
      <c r="M249" t="str">
        <f t="shared" si="18"/>
        <v/>
      </c>
      <c r="N249"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50" spans="1:14" x14ac:dyDescent="0.25">
      <c r="A250">
        <v>249</v>
      </c>
      <c r="B250" t="s">
        <v>412</v>
      </c>
      <c r="C250" t="s">
        <v>390</v>
      </c>
      <c r="D250" t="s">
        <v>288</v>
      </c>
      <c r="E250" s="197" t="s">
        <v>823</v>
      </c>
      <c r="F250" s="197">
        <v>14184</v>
      </c>
      <c r="G250" t="str">
        <f>LOOKUP(B250,ΠΕΡΙΦΕΡΕΙΑ!$A$2:$A$14,ΠΕΡΙΦΕΡΕΙΑ!$B$2:$B$14)</f>
        <v>Μερική</v>
      </c>
      <c r="H250">
        <f t="shared" si="19"/>
        <v>249</v>
      </c>
      <c r="I250" t="e">
        <f t="shared" si="20"/>
        <v>#NUM!</v>
      </c>
      <c r="J250" t="str">
        <f t="shared" si="21"/>
        <v/>
      </c>
      <c r="K250" t="str">
        <f t="shared" si="22"/>
        <v/>
      </c>
      <c r="L250" s="163" t="s">
        <v>420</v>
      </c>
      <c r="M250" t="str">
        <f t="shared" si="18"/>
        <v/>
      </c>
      <c r="N250"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51" spans="1:14" x14ac:dyDescent="0.25">
      <c r="A251">
        <v>250</v>
      </c>
      <c r="B251" t="s">
        <v>412</v>
      </c>
      <c r="C251" t="s">
        <v>292</v>
      </c>
      <c r="D251" t="s">
        <v>292</v>
      </c>
      <c r="E251" s="197" t="s">
        <v>824</v>
      </c>
      <c r="F251" s="197">
        <v>14190</v>
      </c>
      <c r="G251" t="str">
        <f>LOOKUP(B251,ΠΕΡΙΦΕΡΕΙΑ!$A$2:$A$14,ΠΕΡΙΦΕΡΕΙΑ!$B$2:$B$14)</f>
        <v>Μερική</v>
      </c>
      <c r="H251">
        <f t="shared" si="19"/>
        <v>250</v>
      </c>
      <c r="I251" t="e">
        <f t="shared" si="20"/>
        <v>#NUM!</v>
      </c>
      <c r="J251" t="str">
        <f t="shared" si="21"/>
        <v/>
      </c>
      <c r="K251" t="str">
        <f t="shared" si="22"/>
        <v/>
      </c>
      <c r="L251" s="163" t="s">
        <v>420</v>
      </c>
      <c r="M251" t="str">
        <f t="shared" si="18"/>
        <v/>
      </c>
      <c r="N251"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52" spans="1:14" x14ac:dyDescent="0.25">
      <c r="A252">
        <v>251</v>
      </c>
      <c r="B252" t="s">
        <v>412</v>
      </c>
      <c r="C252" t="s">
        <v>292</v>
      </c>
      <c r="D252" t="s">
        <v>293</v>
      </c>
      <c r="E252" s="197" t="s">
        <v>825</v>
      </c>
      <c r="F252" s="197">
        <v>14198</v>
      </c>
      <c r="G252" t="str">
        <f>LOOKUP(B252,ΠΕΡΙΦΕΡΕΙΑ!$A$2:$A$14,ΠΕΡΙΦΕΡΕΙΑ!$B$2:$B$14)</f>
        <v>Μερική</v>
      </c>
      <c r="H252">
        <f t="shared" si="19"/>
        <v>251</v>
      </c>
      <c r="I252" t="e">
        <f t="shared" si="20"/>
        <v>#NUM!</v>
      </c>
      <c r="J252" t="str">
        <f t="shared" si="21"/>
        <v/>
      </c>
      <c r="K252" t="str">
        <f t="shared" si="22"/>
        <v/>
      </c>
      <c r="L252" s="163" t="s">
        <v>420</v>
      </c>
      <c r="M252" t="str">
        <f t="shared" si="18"/>
        <v/>
      </c>
      <c r="N252"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53" spans="1:14" x14ac:dyDescent="0.25">
      <c r="A253">
        <v>252</v>
      </c>
      <c r="B253" t="s">
        <v>412</v>
      </c>
      <c r="C253" t="s">
        <v>391</v>
      </c>
      <c r="D253" t="s">
        <v>294</v>
      </c>
      <c r="E253" s="197" t="s">
        <v>826</v>
      </c>
      <c r="F253" s="197">
        <v>14204</v>
      </c>
      <c r="G253" t="str">
        <f>LOOKUP(B253,ΠΕΡΙΦΕΡΕΙΑ!$A$2:$A$14,ΠΕΡΙΦΕΡΕΙΑ!$B$2:$B$14)</f>
        <v>Μερική</v>
      </c>
      <c r="H253">
        <f t="shared" si="19"/>
        <v>252</v>
      </c>
      <c r="I253" t="e">
        <f t="shared" si="20"/>
        <v>#NUM!</v>
      </c>
      <c r="J253" t="str">
        <f t="shared" si="21"/>
        <v/>
      </c>
      <c r="K253" t="str">
        <f t="shared" si="22"/>
        <v/>
      </c>
      <c r="L253" s="163" t="s">
        <v>420</v>
      </c>
      <c r="M253" t="str">
        <f t="shared" si="18"/>
        <v/>
      </c>
      <c r="N253"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54" spans="1:14" x14ac:dyDescent="0.25">
      <c r="A254">
        <v>253</v>
      </c>
      <c r="B254" t="s">
        <v>412</v>
      </c>
      <c r="C254" t="s">
        <v>299</v>
      </c>
      <c r="D254" t="s">
        <v>298</v>
      </c>
      <c r="E254" s="197" t="s">
        <v>827</v>
      </c>
      <c r="F254" s="197">
        <v>14214</v>
      </c>
      <c r="G254" t="str">
        <f>LOOKUP(B254,ΠΕΡΙΦΕΡΕΙΑ!$A$2:$A$14,ΠΕΡΙΦΕΡΕΙΑ!$B$2:$B$14)</f>
        <v>Μερική</v>
      </c>
      <c r="H254">
        <f t="shared" si="19"/>
        <v>253</v>
      </c>
      <c r="I254" t="e">
        <f t="shared" si="20"/>
        <v>#NUM!</v>
      </c>
      <c r="J254" t="str">
        <f t="shared" si="21"/>
        <v/>
      </c>
      <c r="K254" t="str">
        <f t="shared" si="22"/>
        <v/>
      </c>
      <c r="L254" s="163" t="s">
        <v>420</v>
      </c>
      <c r="M254" t="str">
        <f t="shared" si="18"/>
        <v/>
      </c>
      <c r="N254"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55" spans="1:14" x14ac:dyDescent="0.25">
      <c r="A255">
        <v>254</v>
      </c>
      <c r="B255" t="s">
        <v>412</v>
      </c>
      <c r="C255" t="s">
        <v>391</v>
      </c>
      <c r="D255" t="s">
        <v>295</v>
      </c>
      <c r="E255" s="197" t="s">
        <v>828</v>
      </c>
      <c r="F255" s="197">
        <v>14232</v>
      </c>
      <c r="G255" t="str">
        <f>LOOKUP(B255,ΠΕΡΙΦΕΡΕΙΑ!$A$2:$A$14,ΠΕΡΙΦΕΡΕΙΑ!$B$2:$B$14)</f>
        <v>Μερική</v>
      </c>
      <c r="H255">
        <f t="shared" si="19"/>
        <v>254</v>
      </c>
      <c r="I255" t="e">
        <f t="shared" si="20"/>
        <v>#NUM!</v>
      </c>
      <c r="J255" t="str">
        <f t="shared" si="21"/>
        <v/>
      </c>
      <c r="K255" t="str">
        <f t="shared" si="22"/>
        <v/>
      </c>
      <c r="L255" s="163" t="s">
        <v>420</v>
      </c>
      <c r="M255" t="str">
        <f t="shared" si="18"/>
        <v/>
      </c>
      <c r="N255"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56" spans="1:14" x14ac:dyDescent="0.25">
      <c r="A256">
        <v>255</v>
      </c>
      <c r="B256" t="s">
        <v>412</v>
      </c>
      <c r="C256" t="s">
        <v>296</v>
      </c>
      <c r="D256" t="s">
        <v>296</v>
      </c>
      <c r="E256" s="197" t="s">
        <v>829</v>
      </c>
      <c r="F256" s="197">
        <v>14170</v>
      </c>
      <c r="G256" t="str">
        <f>LOOKUP(B256,ΠΕΡΙΦΕΡΕΙΑ!$A$2:$A$14,ΠΕΡΙΦΕΡΕΙΑ!$B$2:$B$14)</f>
        <v>Μερική</v>
      </c>
      <c r="H256">
        <f t="shared" si="19"/>
        <v>255</v>
      </c>
      <c r="I256" t="e">
        <f t="shared" si="20"/>
        <v>#NUM!</v>
      </c>
      <c r="J256" t="str">
        <f t="shared" si="21"/>
        <v/>
      </c>
      <c r="K256" t="str">
        <f t="shared" si="22"/>
        <v/>
      </c>
      <c r="L256" s="163" t="s">
        <v>420</v>
      </c>
      <c r="M256" t="str">
        <f t="shared" si="18"/>
        <v/>
      </c>
      <c r="N256"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57" spans="1:14" x14ac:dyDescent="0.25">
      <c r="A257">
        <v>256</v>
      </c>
      <c r="B257" t="s">
        <v>412</v>
      </c>
      <c r="C257" t="s">
        <v>390</v>
      </c>
      <c r="D257" t="s">
        <v>289</v>
      </c>
      <c r="E257" s="197" t="s">
        <v>830</v>
      </c>
      <c r="F257" s="197">
        <v>14252</v>
      </c>
      <c r="G257" t="str">
        <f>LOOKUP(B257,ΠΕΡΙΦΕΡΕΙΑ!$A$2:$A$14,ΠΕΡΙΦΕΡΕΙΑ!$B$2:$B$14)</f>
        <v>Μερική</v>
      </c>
      <c r="H257">
        <f t="shared" si="19"/>
        <v>256</v>
      </c>
      <c r="I257" t="e">
        <f t="shared" si="20"/>
        <v>#NUM!</v>
      </c>
      <c r="J257" t="str">
        <f t="shared" si="21"/>
        <v/>
      </c>
      <c r="K257" t="str">
        <f t="shared" si="22"/>
        <v/>
      </c>
      <c r="L257" s="163" t="s">
        <v>420</v>
      </c>
      <c r="M257" t="str">
        <f t="shared" si="18"/>
        <v/>
      </c>
      <c r="N257"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58" spans="1:14" x14ac:dyDescent="0.25">
      <c r="A258">
        <v>257</v>
      </c>
      <c r="B258" t="s">
        <v>412</v>
      </c>
      <c r="C258" t="s">
        <v>390</v>
      </c>
      <c r="D258" t="s">
        <v>290</v>
      </c>
      <c r="E258" s="197" t="s">
        <v>831</v>
      </c>
      <c r="F258" s="197">
        <v>14254</v>
      </c>
      <c r="G258" t="str">
        <f>LOOKUP(B258,ΠΕΡΙΦΕΡΕΙΑ!$A$2:$A$14,ΠΕΡΙΦΕΡΕΙΑ!$B$2:$B$14)</f>
        <v>Μερική</v>
      </c>
      <c r="H258">
        <f t="shared" si="19"/>
        <v>257</v>
      </c>
      <c r="I258" t="e">
        <f t="shared" si="20"/>
        <v>#NUM!</v>
      </c>
      <c r="J258" t="str">
        <f t="shared" si="21"/>
        <v/>
      </c>
      <c r="K258" t="str">
        <f t="shared" si="22"/>
        <v/>
      </c>
      <c r="L258" s="163" t="s">
        <v>420</v>
      </c>
      <c r="M258" t="str">
        <f t="shared" ref="M258:M321" si="24">IF(K258&lt;&gt;"",IF(L258="ΝΑΙ",J258&amp;" - "&amp;K258&amp;", ",""),"")</f>
        <v/>
      </c>
      <c r="N258"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59" spans="1:14" x14ac:dyDescent="0.25">
      <c r="A259">
        <v>258</v>
      </c>
      <c r="B259" t="s">
        <v>412</v>
      </c>
      <c r="C259" t="s">
        <v>308</v>
      </c>
      <c r="D259" t="s">
        <v>307</v>
      </c>
      <c r="E259" s="197" t="s">
        <v>832</v>
      </c>
      <c r="F259" s="197">
        <v>14290</v>
      </c>
      <c r="G259" t="str">
        <f>LOOKUP(B259,ΠΕΡΙΦΕΡΕΙΑ!$A$2:$A$14,ΠΕΡΙΦΕΡΕΙΑ!$B$2:$B$14)</f>
        <v>Μερική</v>
      </c>
      <c r="H259">
        <f t="shared" ref="H259:H322" si="25">IF(G259="Μερική",A259,"")</f>
        <v>258</v>
      </c>
      <c r="I259" t="e">
        <f t="shared" ref="I259:I322" si="26">SMALL(H:H,A259)</f>
        <v>#NUM!</v>
      </c>
      <c r="J259" t="str">
        <f t="shared" ref="J259:J322" si="27">IF(ISNUMBER(I259),LOOKUP(I259,A:A,B:B),"")</f>
        <v/>
      </c>
      <c r="K259" t="str">
        <f t="shared" ref="K259:K322" si="28">IF(ISNUMBER(I259),LOOKUP(I259,A:A,D:D),"")</f>
        <v/>
      </c>
      <c r="L259" s="163" t="s">
        <v>420</v>
      </c>
      <c r="M259" t="str">
        <f t="shared" si="24"/>
        <v/>
      </c>
      <c r="N259" t="str">
        <f t="shared" si="23"/>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60" spans="1:14" x14ac:dyDescent="0.25">
      <c r="A260">
        <v>259</v>
      </c>
      <c r="B260" t="s">
        <v>412</v>
      </c>
      <c r="C260" t="s">
        <v>299</v>
      </c>
      <c r="D260" t="s">
        <v>299</v>
      </c>
      <c r="E260" s="197" t="s">
        <v>833</v>
      </c>
      <c r="F260" s="197">
        <v>14296</v>
      </c>
      <c r="G260" t="str">
        <f>LOOKUP(B260,ΠΕΡΙΦΕΡΕΙΑ!$A$2:$A$14,ΠΕΡΙΦΕΡΕΙΑ!$B$2:$B$14)</f>
        <v>Μερική</v>
      </c>
      <c r="H260">
        <f t="shared" si="25"/>
        <v>259</v>
      </c>
      <c r="I260" t="e">
        <f t="shared" si="26"/>
        <v>#NUM!</v>
      </c>
      <c r="J260" t="str">
        <f t="shared" si="27"/>
        <v/>
      </c>
      <c r="K260" t="str">
        <f t="shared" si="28"/>
        <v/>
      </c>
      <c r="L260" s="163" t="s">
        <v>420</v>
      </c>
      <c r="M260" t="str">
        <f t="shared" si="24"/>
        <v/>
      </c>
      <c r="N260" t="str">
        <f t="shared" ref="N260:N323" si="29">N259&amp;M260</f>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61" spans="1:14" x14ac:dyDescent="0.25">
      <c r="A261">
        <v>260</v>
      </c>
      <c r="B261" t="s">
        <v>412</v>
      </c>
      <c r="C261" t="s">
        <v>302</v>
      </c>
      <c r="D261" t="s">
        <v>302</v>
      </c>
      <c r="E261" s="197" t="s">
        <v>834</v>
      </c>
      <c r="F261" s="197">
        <v>14306</v>
      </c>
      <c r="G261" t="str">
        <f>LOOKUP(B261,ΠΕΡΙΦΕΡΕΙΑ!$A$2:$A$14,ΠΕΡΙΦΕΡΕΙΑ!$B$2:$B$14)</f>
        <v>Μερική</v>
      </c>
      <c r="H261">
        <f t="shared" si="25"/>
        <v>260</v>
      </c>
      <c r="I261" t="e">
        <f t="shared" si="26"/>
        <v>#NUM!</v>
      </c>
      <c r="J261" t="str">
        <f t="shared" si="27"/>
        <v/>
      </c>
      <c r="K261" t="str">
        <f t="shared" si="28"/>
        <v/>
      </c>
      <c r="L261" s="163" t="s">
        <v>420</v>
      </c>
      <c r="M261" t="str">
        <f t="shared" si="24"/>
        <v/>
      </c>
      <c r="N261"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62" spans="1:14" x14ac:dyDescent="0.25">
      <c r="A262">
        <v>261</v>
      </c>
      <c r="B262" t="s">
        <v>412</v>
      </c>
      <c r="C262" t="s">
        <v>392</v>
      </c>
      <c r="D262" t="s">
        <v>304</v>
      </c>
      <c r="E262" s="197" t="s">
        <v>835</v>
      </c>
      <c r="F262" s="197">
        <v>14310</v>
      </c>
      <c r="G262" t="str">
        <f>LOOKUP(B262,ΠΕΡΙΦΕΡΕΙΑ!$A$2:$A$14,ΠΕΡΙΦΕΡΕΙΑ!$B$2:$B$14)</f>
        <v>Μερική</v>
      </c>
      <c r="H262">
        <f t="shared" si="25"/>
        <v>261</v>
      </c>
      <c r="I262" t="e">
        <f t="shared" si="26"/>
        <v>#NUM!</v>
      </c>
      <c r="J262" t="str">
        <f t="shared" si="27"/>
        <v/>
      </c>
      <c r="K262" t="str">
        <f t="shared" si="28"/>
        <v/>
      </c>
      <c r="L262" s="163" t="s">
        <v>420</v>
      </c>
      <c r="M262" t="str">
        <f t="shared" si="24"/>
        <v/>
      </c>
      <c r="N262"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63" spans="1:14" x14ac:dyDescent="0.25">
      <c r="A263">
        <v>262</v>
      </c>
      <c r="B263" t="s">
        <v>412</v>
      </c>
      <c r="C263" t="s">
        <v>296</v>
      </c>
      <c r="D263" t="s">
        <v>297</v>
      </c>
      <c r="E263" s="197" t="s">
        <v>836</v>
      </c>
      <c r="F263" s="197">
        <v>14328</v>
      </c>
      <c r="G263" t="str">
        <f>LOOKUP(B263,ΠΕΡΙΦΕΡΕΙΑ!$A$2:$A$14,ΠΕΡΙΦΕΡΕΙΑ!$B$2:$B$14)</f>
        <v>Μερική</v>
      </c>
      <c r="H263">
        <f t="shared" si="25"/>
        <v>262</v>
      </c>
      <c r="I263" t="e">
        <f t="shared" si="26"/>
        <v>#NUM!</v>
      </c>
      <c r="J263" t="str">
        <f t="shared" si="27"/>
        <v/>
      </c>
      <c r="K263" t="str">
        <f t="shared" si="28"/>
        <v/>
      </c>
      <c r="L263" s="163" t="s">
        <v>420</v>
      </c>
      <c r="M263" t="str">
        <f t="shared" si="24"/>
        <v/>
      </c>
      <c r="N263"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64" spans="1:14" x14ac:dyDescent="0.25">
      <c r="A264">
        <v>263</v>
      </c>
      <c r="B264" t="s">
        <v>412</v>
      </c>
      <c r="C264" t="s">
        <v>306</v>
      </c>
      <c r="D264" t="s">
        <v>306</v>
      </c>
      <c r="E264" s="197" t="s">
        <v>837</v>
      </c>
      <c r="F264" s="197">
        <v>14400</v>
      </c>
      <c r="G264" t="str">
        <f>LOOKUP(B264,ΠΕΡΙΦΕΡΕΙΑ!$A$2:$A$14,ΠΕΡΙΦΕΡΕΙΑ!$B$2:$B$14)</f>
        <v>Μερική</v>
      </c>
      <c r="H264">
        <f t="shared" si="25"/>
        <v>263</v>
      </c>
      <c r="I264" t="e">
        <f t="shared" si="26"/>
        <v>#NUM!</v>
      </c>
      <c r="J264" t="str">
        <f t="shared" si="27"/>
        <v/>
      </c>
      <c r="K264" t="str">
        <f t="shared" si="28"/>
        <v/>
      </c>
      <c r="L264" s="163" t="s">
        <v>420</v>
      </c>
      <c r="M264" t="str">
        <f t="shared" si="24"/>
        <v/>
      </c>
      <c r="N264"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65" spans="1:14" x14ac:dyDescent="0.25">
      <c r="A265">
        <v>264</v>
      </c>
      <c r="B265" t="s">
        <v>412</v>
      </c>
      <c r="C265" t="s">
        <v>390</v>
      </c>
      <c r="D265" t="s">
        <v>291</v>
      </c>
      <c r="E265" s="197" t="s">
        <v>838</v>
      </c>
      <c r="F265" s="197">
        <v>14364</v>
      </c>
      <c r="G265" t="str">
        <f>LOOKUP(B265,ΠΕΡΙΦΕΡΕΙΑ!$A$2:$A$14,ΠΕΡΙΦΕΡΕΙΑ!$B$2:$B$14)</f>
        <v>Μερική</v>
      </c>
      <c r="H265">
        <f t="shared" si="25"/>
        <v>264</v>
      </c>
      <c r="I265" t="e">
        <f t="shared" si="26"/>
        <v>#NUM!</v>
      </c>
      <c r="J265" t="str">
        <f t="shared" si="27"/>
        <v/>
      </c>
      <c r="K265" t="str">
        <f t="shared" si="28"/>
        <v/>
      </c>
      <c r="L265" s="163" t="s">
        <v>420</v>
      </c>
      <c r="M265" t="str">
        <f t="shared" si="24"/>
        <v/>
      </c>
      <c r="N265"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66" spans="1:14" x14ac:dyDescent="0.25">
      <c r="A266">
        <v>265</v>
      </c>
      <c r="B266" t="s">
        <v>412</v>
      </c>
      <c r="C266" t="s">
        <v>308</v>
      </c>
      <c r="D266" t="s">
        <v>308</v>
      </c>
      <c r="E266" s="197" t="s">
        <v>839</v>
      </c>
      <c r="F266" s="197">
        <v>14436</v>
      </c>
      <c r="G266" t="str">
        <f>LOOKUP(B266,ΠΕΡΙΦΕΡΕΙΑ!$A$2:$A$14,ΠΕΡΙΦΕΡΕΙΑ!$B$2:$B$14)</f>
        <v>Μερική</v>
      </c>
      <c r="H266">
        <f t="shared" si="25"/>
        <v>265</v>
      </c>
      <c r="I266" t="e">
        <f t="shared" si="26"/>
        <v>#NUM!</v>
      </c>
      <c r="J266" t="str">
        <f t="shared" si="27"/>
        <v/>
      </c>
      <c r="K266" t="str">
        <f t="shared" si="28"/>
        <v/>
      </c>
      <c r="L266" s="163" t="s">
        <v>420</v>
      </c>
      <c r="M266" t="str">
        <f t="shared" si="24"/>
        <v/>
      </c>
      <c r="N266"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67" spans="1:14" x14ac:dyDescent="0.25">
      <c r="A267">
        <v>266</v>
      </c>
      <c r="B267" t="s">
        <v>412</v>
      </c>
      <c r="C267" t="s">
        <v>299</v>
      </c>
      <c r="D267" t="s">
        <v>300</v>
      </c>
      <c r="E267" s="197" t="s">
        <v>840</v>
      </c>
      <c r="F267" s="197">
        <v>14450</v>
      </c>
      <c r="G267" t="str">
        <f>LOOKUP(B267,ΠΕΡΙΦΕΡΕΙΑ!$A$2:$A$14,ΠΕΡΙΦΕΡΕΙΑ!$B$2:$B$14)</f>
        <v>Μερική</v>
      </c>
      <c r="H267">
        <f t="shared" si="25"/>
        <v>266</v>
      </c>
      <c r="I267" t="e">
        <f t="shared" si="26"/>
        <v>#NUM!</v>
      </c>
      <c r="J267" t="str">
        <f t="shared" si="27"/>
        <v/>
      </c>
      <c r="K267" t="str">
        <f t="shared" si="28"/>
        <v/>
      </c>
      <c r="L267" s="163" t="s">
        <v>420</v>
      </c>
      <c r="M267" t="str">
        <f t="shared" si="24"/>
        <v/>
      </c>
      <c r="N267"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68" spans="1:14" x14ac:dyDescent="0.25">
      <c r="A268">
        <v>267</v>
      </c>
      <c r="B268" t="s">
        <v>412</v>
      </c>
      <c r="C268" t="s">
        <v>282</v>
      </c>
      <c r="D268" t="s">
        <v>284</v>
      </c>
      <c r="E268" s="197" t="s">
        <v>841</v>
      </c>
      <c r="F268" s="197">
        <v>14458</v>
      </c>
      <c r="G268" t="str">
        <f>LOOKUP(B268,ΠΕΡΙΦΕΡΕΙΑ!$A$2:$A$14,ΠΕΡΙΦΕΡΕΙΑ!$B$2:$B$14)</f>
        <v>Μερική</v>
      </c>
      <c r="H268">
        <f t="shared" si="25"/>
        <v>267</v>
      </c>
      <c r="I268" t="e">
        <f t="shared" si="26"/>
        <v>#NUM!</v>
      </c>
      <c r="J268" t="str">
        <f t="shared" si="27"/>
        <v/>
      </c>
      <c r="K268" t="str">
        <f t="shared" si="28"/>
        <v/>
      </c>
      <c r="L268" s="163" t="s">
        <v>420</v>
      </c>
      <c r="M268" t="str">
        <f t="shared" si="24"/>
        <v/>
      </c>
      <c r="N268"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69" spans="1:14" x14ac:dyDescent="0.25">
      <c r="A269">
        <v>268</v>
      </c>
      <c r="B269" t="s">
        <v>412</v>
      </c>
      <c r="C269" t="s">
        <v>299</v>
      </c>
      <c r="D269" t="s">
        <v>301</v>
      </c>
      <c r="E269" s="197" t="s">
        <v>842</v>
      </c>
      <c r="F269" s="197">
        <v>14464</v>
      </c>
      <c r="G269" t="str">
        <f>LOOKUP(B269,ΠΕΡΙΦΕΡΕΙΑ!$A$2:$A$14,ΠΕΡΙΦΕΡΕΙΑ!$B$2:$B$14)</f>
        <v>Μερική</v>
      </c>
      <c r="H269">
        <f t="shared" si="25"/>
        <v>268</v>
      </c>
      <c r="I269" t="e">
        <f t="shared" si="26"/>
        <v>#NUM!</v>
      </c>
      <c r="J269" t="str">
        <f t="shared" si="27"/>
        <v/>
      </c>
      <c r="K269" t="str">
        <f t="shared" si="28"/>
        <v/>
      </c>
      <c r="L269" s="163" t="s">
        <v>420</v>
      </c>
      <c r="M269" t="str">
        <f t="shared" si="24"/>
        <v/>
      </c>
      <c r="N269"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0" spans="1:14" x14ac:dyDescent="0.25">
      <c r="A270">
        <v>269</v>
      </c>
      <c r="B270" t="s">
        <v>412</v>
      </c>
      <c r="C270" t="s">
        <v>308</v>
      </c>
      <c r="D270" t="s">
        <v>309</v>
      </c>
      <c r="E270" s="197" t="s">
        <v>843</v>
      </c>
      <c r="F270" s="197">
        <v>14486</v>
      </c>
      <c r="G270" t="str">
        <f>LOOKUP(B270,ΠΕΡΙΦΕΡΕΙΑ!$A$2:$A$14,ΠΕΡΙΦΕΡΕΙΑ!$B$2:$B$14)</f>
        <v>Μερική</v>
      </c>
      <c r="H270">
        <f t="shared" si="25"/>
        <v>269</v>
      </c>
      <c r="I270" t="e">
        <f t="shared" si="26"/>
        <v>#NUM!</v>
      </c>
      <c r="J270" t="str">
        <f t="shared" si="27"/>
        <v/>
      </c>
      <c r="K270" t="str">
        <f t="shared" si="28"/>
        <v/>
      </c>
      <c r="L270" s="163" t="s">
        <v>420</v>
      </c>
      <c r="M270" t="str">
        <f t="shared" si="24"/>
        <v/>
      </c>
      <c r="N270"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1" spans="1:14" x14ac:dyDescent="0.25">
      <c r="A271">
        <v>270</v>
      </c>
      <c r="B271" t="s">
        <v>412</v>
      </c>
      <c r="C271" t="s">
        <v>393</v>
      </c>
      <c r="D271" t="s">
        <v>312</v>
      </c>
      <c r="E271" s="197" t="s">
        <v>844</v>
      </c>
      <c r="F271" s="197">
        <v>14488</v>
      </c>
      <c r="G271" t="str">
        <f>LOOKUP(B271,ΠΕΡΙΦΕΡΕΙΑ!$A$2:$A$14,ΠΕΡΙΦΕΡΕΙΑ!$B$2:$B$14)</f>
        <v>Μερική</v>
      </c>
      <c r="H271">
        <f t="shared" si="25"/>
        <v>270</v>
      </c>
      <c r="I271" t="e">
        <f t="shared" si="26"/>
        <v>#NUM!</v>
      </c>
      <c r="J271" t="str">
        <f t="shared" si="27"/>
        <v/>
      </c>
      <c r="K271" t="str">
        <f t="shared" si="28"/>
        <v/>
      </c>
      <c r="L271" s="163" t="s">
        <v>420</v>
      </c>
      <c r="M271" t="str">
        <f t="shared" si="24"/>
        <v/>
      </c>
      <c r="N271"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2" spans="1:14" x14ac:dyDescent="0.25">
      <c r="A272">
        <v>271</v>
      </c>
      <c r="B272" t="s">
        <v>412</v>
      </c>
      <c r="C272" t="s">
        <v>308</v>
      </c>
      <c r="D272" t="s">
        <v>310</v>
      </c>
      <c r="E272" s="197" t="s">
        <v>845</v>
      </c>
      <c r="F272" s="197">
        <v>14496</v>
      </c>
      <c r="G272" t="str">
        <f>LOOKUP(B272,ΠΕΡΙΦΕΡΕΙΑ!$A$2:$A$14,ΠΕΡΙΦΕΡΕΙΑ!$B$2:$B$14)</f>
        <v>Μερική</v>
      </c>
      <c r="H272">
        <f t="shared" si="25"/>
        <v>271</v>
      </c>
      <c r="I272" t="e">
        <f t="shared" si="26"/>
        <v>#NUM!</v>
      </c>
      <c r="J272" t="str">
        <f t="shared" si="27"/>
        <v/>
      </c>
      <c r="K272" t="str">
        <f t="shared" si="28"/>
        <v/>
      </c>
      <c r="L272" s="163" t="s">
        <v>420</v>
      </c>
      <c r="M272" t="str">
        <f t="shared" si="24"/>
        <v/>
      </c>
      <c r="N272"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3" spans="1:14" x14ac:dyDescent="0.25">
      <c r="A273">
        <v>272</v>
      </c>
      <c r="B273" t="s">
        <v>412</v>
      </c>
      <c r="C273" t="s">
        <v>313</v>
      </c>
      <c r="D273" t="s">
        <v>313</v>
      </c>
      <c r="E273" s="197" t="s">
        <v>846</v>
      </c>
      <c r="F273" s="197">
        <v>14498</v>
      </c>
      <c r="G273" t="str">
        <f>LOOKUP(B273,ΠΕΡΙΦΕΡΕΙΑ!$A$2:$A$14,ΠΕΡΙΦΕΡΕΙΑ!$B$2:$B$14)</f>
        <v>Μερική</v>
      </c>
      <c r="H273">
        <f t="shared" si="25"/>
        <v>272</v>
      </c>
      <c r="I273" t="e">
        <f t="shared" si="26"/>
        <v>#NUM!</v>
      </c>
      <c r="J273" t="str">
        <f t="shared" si="27"/>
        <v/>
      </c>
      <c r="K273" t="str">
        <f t="shared" si="28"/>
        <v/>
      </c>
      <c r="L273" s="163" t="s">
        <v>420</v>
      </c>
      <c r="M273" t="str">
        <f t="shared" si="24"/>
        <v/>
      </c>
      <c r="N273"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4" spans="1:14" x14ac:dyDescent="0.25">
      <c r="A274">
        <v>273</v>
      </c>
      <c r="B274" t="s">
        <v>412</v>
      </c>
      <c r="C274" t="s">
        <v>282</v>
      </c>
      <c r="D274" t="s">
        <v>285</v>
      </c>
      <c r="E274" s="197" t="s">
        <v>847</v>
      </c>
      <c r="F274" s="197">
        <v>14522</v>
      </c>
      <c r="G274" t="str">
        <f>LOOKUP(B274,ΠΕΡΙΦΕΡΕΙΑ!$A$2:$A$14,ΠΕΡΙΦΕΡΕΙΑ!$B$2:$B$14)</f>
        <v>Μερική</v>
      </c>
      <c r="H274">
        <f t="shared" si="25"/>
        <v>273</v>
      </c>
      <c r="I274" t="e">
        <f t="shared" si="26"/>
        <v>#NUM!</v>
      </c>
      <c r="J274" t="str">
        <f t="shared" si="27"/>
        <v/>
      </c>
      <c r="K274" t="str">
        <f t="shared" si="28"/>
        <v/>
      </c>
      <c r="L274" s="163" t="s">
        <v>420</v>
      </c>
      <c r="M274" t="str">
        <f t="shared" si="24"/>
        <v/>
      </c>
      <c r="N274"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5" spans="1:14" x14ac:dyDescent="0.25">
      <c r="A275">
        <v>274</v>
      </c>
      <c r="B275" t="s">
        <v>412</v>
      </c>
      <c r="C275" t="s">
        <v>308</v>
      </c>
      <c r="D275" t="s">
        <v>311</v>
      </c>
      <c r="E275" s="197" t="s">
        <v>848</v>
      </c>
      <c r="F275" s="197">
        <v>14536</v>
      </c>
      <c r="G275" t="str">
        <f>LOOKUP(B275,ΠΕΡΙΦΕΡΕΙΑ!$A$2:$A$14,ΠΕΡΙΦΕΡΕΙΑ!$B$2:$B$14)</f>
        <v>Μερική</v>
      </c>
      <c r="H275">
        <f t="shared" si="25"/>
        <v>274</v>
      </c>
      <c r="I275" t="e">
        <f t="shared" si="26"/>
        <v>#NUM!</v>
      </c>
      <c r="J275" t="str">
        <f t="shared" si="27"/>
        <v/>
      </c>
      <c r="K275" t="str">
        <f t="shared" si="28"/>
        <v/>
      </c>
      <c r="L275" s="163" t="s">
        <v>420</v>
      </c>
      <c r="M275" t="str">
        <f t="shared" si="24"/>
        <v/>
      </c>
      <c r="N275"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6" spans="1:14" x14ac:dyDescent="0.25">
      <c r="A276">
        <v>275</v>
      </c>
      <c r="B276" t="s">
        <v>413</v>
      </c>
      <c r="C276" t="s">
        <v>397</v>
      </c>
      <c r="D276" t="s">
        <v>329</v>
      </c>
      <c r="E276" s="197" t="s">
        <v>849</v>
      </c>
      <c r="F276" s="197">
        <v>13980</v>
      </c>
      <c r="G276" t="str">
        <f>LOOKUP(B276,ΠΕΡΙΦΕΡΕΙΑ!$A$2:$A$14,ΠΕΡΙΦΕΡΕΙΑ!$B$2:$B$14)</f>
        <v>Ολική</v>
      </c>
      <c r="H276" t="str">
        <f t="shared" si="25"/>
        <v/>
      </c>
      <c r="I276" t="e">
        <f t="shared" si="26"/>
        <v>#NUM!</v>
      </c>
      <c r="J276" t="str">
        <f t="shared" si="27"/>
        <v/>
      </c>
      <c r="K276" t="str">
        <f t="shared" si="28"/>
        <v/>
      </c>
      <c r="L276" s="163" t="s">
        <v>420</v>
      </c>
      <c r="M276" t="str">
        <f t="shared" si="24"/>
        <v/>
      </c>
      <c r="N276"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7" spans="1:14" x14ac:dyDescent="0.25">
      <c r="A277">
        <v>276</v>
      </c>
      <c r="B277" t="s">
        <v>413</v>
      </c>
      <c r="C277" t="s">
        <v>394</v>
      </c>
      <c r="D277" t="s">
        <v>314</v>
      </c>
      <c r="E277" s="197" t="s">
        <v>850</v>
      </c>
      <c r="F277" s="197">
        <v>13994</v>
      </c>
      <c r="G277" t="str">
        <f>LOOKUP(B277,ΠΕΡΙΦΕΡΕΙΑ!$A$2:$A$14,ΠΕΡΙΦΕΡΕΙΑ!$B$2:$B$14)</f>
        <v>Ολική</v>
      </c>
      <c r="H277" t="str">
        <f t="shared" si="25"/>
        <v/>
      </c>
      <c r="I277" t="e">
        <f t="shared" si="26"/>
        <v>#NUM!</v>
      </c>
      <c r="J277" t="str">
        <f t="shared" si="27"/>
        <v/>
      </c>
      <c r="K277" t="str">
        <f t="shared" si="28"/>
        <v/>
      </c>
      <c r="L277" s="163" t="s">
        <v>420</v>
      </c>
      <c r="M277" t="str">
        <f t="shared" si="24"/>
        <v/>
      </c>
      <c r="N277"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8" spans="1:14" x14ac:dyDescent="0.25">
      <c r="A278">
        <v>277</v>
      </c>
      <c r="B278" t="s">
        <v>413</v>
      </c>
      <c r="C278" t="s">
        <v>396</v>
      </c>
      <c r="D278" t="s">
        <v>323</v>
      </c>
      <c r="E278" s="197" t="s">
        <v>851</v>
      </c>
      <c r="F278" s="197">
        <v>14012</v>
      </c>
      <c r="G278" t="str">
        <f>LOOKUP(B278,ΠΕΡΙΦΕΡΕΙΑ!$A$2:$A$14,ΠΕΡΙΦΕΡΕΙΑ!$B$2:$B$14)</f>
        <v>Ολική</v>
      </c>
      <c r="H278" t="str">
        <f t="shared" si="25"/>
        <v/>
      </c>
      <c r="I278" t="e">
        <f t="shared" si="26"/>
        <v>#NUM!</v>
      </c>
      <c r="J278" t="str">
        <f t="shared" si="27"/>
        <v/>
      </c>
      <c r="K278" t="str">
        <f t="shared" si="28"/>
        <v/>
      </c>
      <c r="L278" s="163" t="s">
        <v>420</v>
      </c>
      <c r="M278" t="str">
        <f t="shared" si="24"/>
        <v/>
      </c>
      <c r="N278"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9" spans="1:14" x14ac:dyDescent="0.25">
      <c r="A279">
        <v>278</v>
      </c>
      <c r="B279" t="s">
        <v>413</v>
      </c>
      <c r="C279" t="s">
        <v>395</v>
      </c>
      <c r="D279" t="s">
        <v>318</v>
      </c>
      <c r="E279" s="197" t="s">
        <v>852</v>
      </c>
      <c r="F279" s="197">
        <v>14020</v>
      </c>
      <c r="G279" t="str">
        <f>LOOKUP(B279,ΠΕΡΙΦΕΡΕΙΑ!$A$2:$A$14,ΠΕΡΙΦΕΡΕΙΑ!$B$2:$B$14)</f>
        <v>Ολική</v>
      </c>
      <c r="H279" t="str">
        <f t="shared" si="25"/>
        <v/>
      </c>
      <c r="I279" t="e">
        <f t="shared" si="26"/>
        <v>#NUM!</v>
      </c>
      <c r="J279" t="str">
        <f t="shared" si="27"/>
        <v/>
      </c>
      <c r="K279" t="str">
        <f t="shared" si="28"/>
        <v/>
      </c>
      <c r="L279" s="163" t="s">
        <v>420</v>
      </c>
      <c r="M279" t="str">
        <f t="shared" si="24"/>
        <v/>
      </c>
      <c r="N279"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80" spans="1:14" x14ac:dyDescent="0.25">
      <c r="A280">
        <v>279</v>
      </c>
      <c r="B280" t="s">
        <v>413</v>
      </c>
      <c r="C280" t="s">
        <v>395</v>
      </c>
      <c r="D280" t="s">
        <v>319</v>
      </c>
      <c r="E280" s="197" t="s">
        <v>853</v>
      </c>
      <c r="F280" s="197">
        <v>14046</v>
      </c>
      <c r="G280" t="str">
        <f>LOOKUP(B280,ΠΕΡΙΦΕΡΕΙΑ!$A$2:$A$14,ΠΕΡΙΦΕΡΕΙΑ!$B$2:$B$14)</f>
        <v>Ολική</v>
      </c>
      <c r="H280" t="str">
        <f t="shared" si="25"/>
        <v/>
      </c>
      <c r="I280" t="e">
        <f t="shared" si="26"/>
        <v>#NUM!</v>
      </c>
      <c r="J280" t="str">
        <f t="shared" si="27"/>
        <v/>
      </c>
      <c r="K280" t="str">
        <f t="shared" si="28"/>
        <v/>
      </c>
      <c r="L280" s="163" t="s">
        <v>420</v>
      </c>
      <c r="M280" t="str">
        <f t="shared" si="24"/>
        <v/>
      </c>
      <c r="N280"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81" spans="1:14" x14ac:dyDescent="0.25">
      <c r="A281">
        <v>280</v>
      </c>
      <c r="B281" t="s">
        <v>413</v>
      </c>
      <c r="C281" t="s">
        <v>398</v>
      </c>
      <c r="D281" t="s">
        <v>334</v>
      </c>
      <c r="E281" s="197" t="s">
        <v>854</v>
      </c>
      <c r="F281" s="197">
        <v>14074</v>
      </c>
      <c r="G281" t="str">
        <f>LOOKUP(B281,ΠΕΡΙΦΕΡΕΙΑ!$A$2:$A$14,ΠΕΡΙΦΕΡΕΙΑ!$B$2:$B$14)</f>
        <v>Ολική</v>
      </c>
      <c r="H281" t="str">
        <f t="shared" si="25"/>
        <v/>
      </c>
      <c r="I281" t="e">
        <f t="shared" si="26"/>
        <v>#NUM!</v>
      </c>
      <c r="J281" t="str">
        <f t="shared" si="27"/>
        <v/>
      </c>
      <c r="K281" t="str">
        <f t="shared" si="28"/>
        <v/>
      </c>
      <c r="L281" s="163" t="s">
        <v>420</v>
      </c>
      <c r="M281" t="str">
        <f t="shared" si="24"/>
        <v/>
      </c>
      <c r="N281"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82" spans="1:14" x14ac:dyDescent="0.25">
      <c r="A282">
        <v>281</v>
      </c>
      <c r="B282" t="s">
        <v>413</v>
      </c>
      <c r="C282" t="s">
        <v>397</v>
      </c>
      <c r="D282" t="s">
        <v>330</v>
      </c>
      <c r="E282" s="197" t="s">
        <v>855</v>
      </c>
      <c r="F282" s="197">
        <v>13912</v>
      </c>
      <c r="G282" t="str">
        <f>LOOKUP(B282,ΠΕΡΙΦΕΡΕΙΑ!$A$2:$A$14,ΠΕΡΙΦΕΡΕΙΑ!$B$2:$B$14)</f>
        <v>Ολική</v>
      </c>
      <c r="H282" t="str">
        <f t="shared" si="25"/>
        <v/>
      </c>
      <c r="I282" t="e">
        <f t="shared" si="26"/>
        <v>#NUM!</v>
      </c>
      <c r="J282" t="str">
        <f t="shared" si="27"/>
        <v/>
      </c>
      <c r="K282" t="str">
        <f t="shared" si="28"/>
        <v/>
      </c>
      <c r="L282" s="163" t="s">
        <v>420</v>
      </c>
      <c r="M282" t="str">
        <f t="shared" si="24"/>
        <v/>
      </c>
      <c r="N282"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83" spans="1:14" x14ac:dyDescent="0.25">
      <c r="A283">
        <v>282</v>
      </c>
      <c r="B283" t="s">
        <v>413</v>
      </c>
      <c r="C283" t="s">
        <v>394</v>
      </c>
      <c r="D283" t="s">
        <v>315</v>
      </c>
      <c r="E283" s="197" t="s">
        <v>856</v>
      </c>
      <c r="F283" s="197">
        <v>14092</v>
      </c>
      <c r="G283" t="str">
        <f>LOOKUP(B283,ΠΕΡΙΦΕΡΕΙΑ!$A$2:$A$14,ΠΕΡΙΦΕΡΕΙΑ!$B$2:$B$14)</f>
        <v>Ολική</v>
      </c>
      <c r="H283" t="str">
        <f t="shared" si="25"/>
        <v/>
      </c>
      <c r="I283" t="e">
        <f t="shared" si="26"/>
        <v>#NUM!</v>
      </c>
      <c r="J283" t="str">
        <f t="shared" si="27"/>
        <v/>
      </c>
      <c r="K283" t="str">
        <f t="shared" si="28"/>
        <v/>
      </c>
      <c r="L283" s="163" t="s">
        <v>420</v>
      </c>
      <c r="M283" t="str">
        <f t="shared" si="24"/>
        <v/>
      </c>
      <c r="N283"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84" spans="1:14" x14ac:dyDescent="0.25">
      <c r="A284">
        <v>283</v>
      </c>
      <c r="B284" t="s">
        <v>413</v>
      </c>
      <c r="C284" t="s">
        <v>394</v>
      </c>
      <c r="D284" t="s">
        <v>316</v>
      </c>
      <c r="E284" s="197" t="s">
        <v>857</v>
      </c>
      <c r="F284" s="197">
        <v>14096</v>
      </c>
      <c r="G284" t="str">
        <f>LOOKUP(B284,ΠΕΡΙΦΕΡΕΙΑ!$A$2:$A$14,ΠΕΡΙΦΕΡΕΙΑ!$B$2:$B$14)</f>
        <v>Ολική</v>
      </c>
      <c r="H284" t="str">
        <f t="shared" si="25"/>
        <v/>
      </c>
      <c r="I284" t="e">
        <f t="shared" si="26"/>
        <v>#NUM!</v>
      </c>
      <c r="J284" t="str">
        <f t="shared" si="27"/>
        <v/>
      </c>
      <c r="K284" t="str">
        <f t="shared" si="28"/>
        <v/>
      </c>
      <c r="L284" s="163" t="s">
        <v>420</v>
      </c>
      <c r="M284" t="str">
        <f t="shared" si="24"/>
        <v/>
      </c>
      <c r="N284"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85" spans="1:14" x14ac:dyDescent="0.25">
      <c r="A285">
        <v>284</v>
      </c>
      <c r="B285" t="s">
        <v>413</v>
      </c>
      <c r="C285" t="s">
        <v>397</v>
      </c>
      <c r="D285" t="s">
        <v>331</v>
      </c>
      <c r="E285" s="197" t="s">
        <v>858</v>
      </c>
      <c r="F285" s="197">
        <v>14100</v>
      </c>
      <c r="G285" t="str">
        <f>LOOKUP(B285,ΠΕΡΙΦΕΡΕΙΑ!$A$2:$A$14,ΠΕΡΙΦΕΡΕΙΑ!$B$2:$B$14)</f>
        <v>Ολική</v>
      </c>
      <c r="H285" t="str">
        <f t="shared" si="25"/>
        <v/>
      </c>
      <c r="I285" t="e">
        <f t="shared" si="26"/>
        <v>#NUM!</v>
      </c>
      <c r="J285" t="str">
        <f t="shared" si="27"/>
        <v/>
      </c>
      <c r="K285" t="str">
        <f t="shared" si="28"/>
        <v/>
      </c>
      <c r="L285" s="163" t="s">
        <v>420</v>
      </c>
      <c r="M285" t="str">
        <f t="shared" si="24"/>
        <v/>
      </c>
      <c r="N285"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86" spans="1:14" x14ac:dyDescent="0.25">
      <c r="A286">
        <v>285</v>
      </c>
      <c r="B286" t="s">
        <v>413</v>
      </c>
      <c r="C286" t="s">
        <v>398</v>
      </c>
      <c r="D286" t="s">
        <v>335</v>
      </c>
      <c r="E286" s="197" t="s">
        <v>859</v>
      </c>
      <c r="F286" s="197">
        <v>14178</v>
      </c>
      <c r="G286" t="str">
        <f>LOOKUP(B286,ΠΕΡΙΦΕΡΕΙΑ!$A$2:$A$14,ΠΕΡΙΦΕΡΕΙΑ!$B$2:$B$14)</f>
        <v>Ολική</v>
      </c>
      <c r="H286" t="str">
        <f t="shared" si="25"/>
        <v/>
      </c>
      <c r="I286" t="e">
        <f t="shared" si="26"/>
        <v>#NUM!</v>
      </c>
      <c r="J286" t="str">
        <f t="shared" si="27"/>
        <v/>
      </c>
      <c r="K286" t="str">
        <f t="shared" si="28"/>
        <v/>
      </c>
      <c r="L286" s="163" t="s">
        <v>420</v>
      </c>
      <c r="M286" t="str">
        <f t="shared" si="24"/>
        <v/>
      </c>
      <c r="N286"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87" spans="1:14" x14ac:dyDescent="0.25">
      <c r="A287">
        <v>286</v>
      </c>
      <c r="B287" t="s">
        <v>413</v>
      </c>
      <c r="C287" t="s">
        <v>396</v>
      </c>
      <c r="D287" t="s">
        <v>324</v>
      </c>
      <c r="E287" s="197" t="s">
        <v>860</v>
      </c>
      <c r="F287" s="197">
        <v>14168</v>
      </c>
      <c r="G287" t="str">
        <f>LOOKUP(B287,ΠΕΡΙΦΕΡΕΙΑ!$A$2:$A$14,ΠΕΡΙΦΕΡΕΙΑ!$B$2:$B$14)</f>
        <v>Ολική</v>
      </c>
      <c r="H287" t="str">
        <f t="shared" si="25"/>
        <v/>
      </c>
      <c r="I287" t="e">
        <f t="shared" si="26"/>
        <v>#NUM!</v>
      </c>
      <c r="J287" t="str">
        <f t="shared" si="27"/>
        <v/>
      </c>
      <c r="K287" t="str">
        <f t="shared" si="28"/>
        <v/>
      </c>
      <c r="L287" s="163" t="s">
        <v>420</v>
      </c>
      <c r="M287" t="str">
        <f t="shared" si="24"/>
        <v/>
      </c>
      <c r="N287"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88" spans="1:14" x14ac:dyDescent="0.25">
      <c r="A288">
        <v>287</v>
      </c>
      <c r="B288" t="s">
        <v>413</v>
      </c>
      <c r="C288" t="s">
        <v>396</v>
      </c>
      <c r="D288" t="s">
        <v>325</v>
      </c>
      <c r="E288" s="197" t="s">
        <v>861</v>
      </c>
      <c r="F288" s="197">
        <v>14244</v>
      </c>
      <c r="G288" t="str">
        <f>LOOKUP(B288,ΠΕΡΙΦΕΡΕΙΑ!$A$2:$A$14,ΠΕΡΙΦΕΡΕΙΑ!$B$2:$B$14)</f>
        <v>Ολική</v>
      </c>
      <c r="H288" t="str">
        <f t="shared" si="25"/>
        <v/>
      </c>
      <c r="I288" t="e">
        <f t="shared" si="26"/>
        <v>#NUM!</v>
      </c>
      <c r="J288" t="str">
        <f t="shared" si="27"/>
        <v/>
      </c>
      <c r="K288" t="str">
        <f t="shared" si="28"/>
        <v/>
      </c>
      <c r="L288" s="163" t="s">
        <v>420</v>
      </c>
      <c r="M288" t="str">
        <f t="shared" si="24"/>
        <v/>
      </c>
      <c r="N288"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89" spans="1:14" x14ac:dyDescent="0.25">
      <c r="A289">
        <v>288</v>
      </c>
      <c r="B289" t="s">
        <v>413</v>
      </c>
      <c r="C289" t="s">
        <v>395</v>
      </c>
      <c r="D289" t="s">
        <v>320</v>
      </c>
      <c r="E289" s="197" t="s">
        <v>862</v>
      </c>
      <c r="F289" s="197">
        <v>14282</v>
      </c>
      <c r="G289" t="str">
        <f>LOOKUP(B289,ΠΕΡΙΦΕΡΕΙΑ!$A$2:$A$14,ΠΕΡΙΦΕΡΕΙΑ!$B$2:$B$14)</f>
        <v>Ολική</v>
      </c>
      <c r="H289" t="str">
        <f t="shared" si="25"/>
        <v/>
      </c>
      <c r="I289" t="e">
        <f t="shared" si="26"/>
        <v>#NUM!</v>
      </c>
      <c r="J289" t="str">
        <f t="shared" si="27"/>
        <v/>
      </c>
      <c r="K289" t="str">
        <f t="shared" si="28"/>
        <v/>
      </c>
      <c r="L289" s="163" t="s">
        <v>420</v>
      </c>
      <c r="M289" t="str">
        <f t="shared" si="24"/>
        <v/>
      </c>
      <c r="N289"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90" spans="1:14" x14ac:dyDescent="0.25">
      <c r="A290">
        <v>289</v>
      </c>
      <c r="B290" t="s">
        <v>413</v>
      </c>
      <c r="C290" t="s">
        <v>398</v>
      </c>
      <c r="D290" t="s">
        <v>336</v>
      </c>
      <c r="E290" s="197" t="s">
        <v>863</v>
      </c>
      <c r="F290" s="197">
        <v>14292</v>
      </c>
      <c r="G290" t="str">
        <f>LOOKUP(B290,ΠΕΡΙΦΕΡΕΙΑ!$A$2:$A$14,ΠΕΡΙΦΕΡΕΙΑ!$B$2:$B$14)</f>
        <v>Ολική</v>
      </c>
      <c r="H290" t="str">
        <f t="shared" si="25"/>
        <v/>
      </c>
      <c r="I290" t="e">
        <f t="shared" si="26"/>
        <v>#NUM!</v>
      </c>
      <c r="J290" t="str">
        <f t="shared" si="27"/>
        <v/>
      </c>
      <c r="K290" t="str">
        <f t="shared" si="28"/>
        <v/>
      </c>
      <c r="L290" s="163" t="s">
        <v>420</v>
      </c>
      <c r="M290" t="str">
        <f t="shared" si="24"/>
        <v/>
      </c>
      <c r="N290"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91" spans="1:14" x14ac:dyDescent="0.25">
      <c r="A291">
        <v>290</v>
      </c>
      <c r="B291" t="s">
        <v>413</v>
      </c>
      <c r="C291" t="s">
        <v>397</v>
      </c>
      <c r="D291" t="s">
        <v>332</v>
      </c>
      <c r="E291" s="197" t="s">
        <v>864</v>
      </c>
      <c r="F291" s="197">
        <v>14268</v>
      </c>
      <c r="G291" t="str">
        <f>LOOKUP(B291,ΠΕΡΙΦΕΡΕΙΑ!$A$2:$A$14,ΠΕΡΙΦΕΡΕΙΑ!$B$2:$B$14)</f>
        <v>Ολική</v>
      </c>
      <c r="H291" t="str">
        <f t="shared" si="25"/>
        <v/>
      </c>
      <c r="I291" t="e">
        <f t="shared" si="26"/>
        <v>#NUM!</v>
      </c>
      <c r="J291" t="str">
        <f t="shared" si="27"/>
        <v/>
      </c>
      <c r="K291" t="str">
        <f t="shared" si="28"/>
        <v/>
      </c>
      <c r="L291" s="163" t="s">
        <v>420</v>
      </c>
      <c r="M291" t="str">
        <f t="shared" si="24"/>
        <v/>
      </c>
      <c r="N291"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92" spans="1:14" x14ac:dyDescent="0.25">
      <c r="A292">
        <v>291</v>
      </c>
      <c r="B292" t="s">
        <v>413</v>
      </c>
      <c r="C292" t="s">
        <v>394</v>
      </c>
      <c r="D292" t="s">
        <v>317</v>
      </c>
      <c r="E292" s="197" t="s">
        <v>865</v>
      </c>
      <c r="F292" s="197">
        <v>14314</v>
      </c>
      <c r="G292" t="str">
        <f>LOOKUP(B292,ΠΕΡΙΦΕΡΕΙΑ!$A$2:$A$14,ΠΕΡΙΦΕΡΕΙΑ!$B$2:$B$14)</f>
        <v>Ολική</v>
      </c>
      <c r="H292" t="str">
        <f t="shared" si="25"/>
        <v/>
      </c>
      <c r="I292" t="e">
        <f t="shared" si="26"/>
        <v>#NUM!</v>
      </c>
      <c r="J292" t="str">
        <f t="shared" si="27"/>
        <v/>
      </c>
      <c r="K292" t="str">
        <f t="shared" si="28"/>
        <v/>
      </c>
      <c r="L292" s="163" t="s">
        <v>420</v>
      </c>
      <c r="M292" t="str">
        <f t="shared" si="24"/>
        <v/>
      </c>
      <c r="N292"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93" spans="1:14" x14ac:dyDescent="0.25">
      <c r="A293">
        <v>292</v>
      </c>
      <c r="B293" t="s">
        <v>413</v>
      </c>
      <c r="C293" t="s">
        <v>396</v>
      </c>
      <c r="D293" t="s">
        <v>326</v>
      </c>
      <c r="E293" s="197" t="s">
        <v>866</v>
      </c>
      <c r="F293" s="197">
        <v>14322</v>
      </c>
      <c r="G293" t="str">
        <f>LOOKUP(B293,ΠΕΡΙΦΕΡΕΙΑ!$A$2:$A$14,ΠΕΡΙΦΕΡΕΙΑ!$B$2:$B$14)</f>
        <v>Ολική</v>
      </c>
      <c r="H293" t="str">
        <f t="shared" si="25"/>
        <v/>
      </c>
      <c r="I293" t="e">
        <f t="shared" si="26"/>
        <v>#NUM!</v>
      </c>
      <c r="J293" t="str">
        <f t="shared" si="27"/>
        <v/>
      </c>
      <c r="K293" t="str">
        <f t="shared" si="28"/>
        <v/>
      </c>
      <c r="L293" s="163" t="s">
        <v>420</v>
      </c>
      <c r="M293" t="str">
        <f t="shared" si="24"/>
        <v/>
      </c>
      <c r="N293"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94" spans="1:14" x14ac:dyDescent="0.25">
      <c r="A294">
        <v>293</v>
      </c>
      <c r="B294" t="s">
        <v>413</v>
      </c>
      <c r="C294" t="s">
        <v>395</v>
      </c>
      <c r="D294" t="s">
        <v>321</v>
      </c>
      <c r="E294" s="197" t="s">
        <v>867</v>
      </c>
      <c r="F294" s="197">
        <v>14340</v>
      </c>
      <c r="G294" t="str">
        <f>LOOKUP(B294,ΠΕΡΙΦΕΡΕΙΑ!$A$2:$A$14,ΠΕΡΙΦΕΡΕΙΑ!$B$2:$B$14)</f>
        <v>Ολική</v>
      </c>
      <c r="H294" t="str">
        <f t="shared" si="25"/>
        <v/>
      </c>
      <c r="I294" t="e">
        <f t="shared" si="26"/>
        <v>#NUM!</v>
      </c>
      <c r="J294" t="str">
        <f t="shared" si="27"/>
        <v/>
      </c>
      <c r="K294" t="str">
        <f t="shared" si="28"/>
        <v/>
      </c>
      <c r="L294" s="163" t="s">
        <v>420</v>
      </c>
      <c r="M294" t="str">
        <f t="shared" si="24"/>
        <v/>
      </c>
      <c r="N294"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95" spans="1:14" x14ac:dyDescent="0.25">
      <c r="A295">
        <v>294</v>
      </c>
      <c r="B295" t="s">
        <v>413</v>
      </c>
      <c r="C295" t="s">
        <v>396</v>
      </c>
      <c r="D295" t="s">
        <v>327</v>
      </c>
      <c r="E295" s="197" t="s">
        <v>868</v>
      </c>
      <c r="F295" s="197">
        <v>14346</v>
      </c>
      <c r="G295" t="str">
        <f>LOOKUP(B295,ΠΕΡΙΦΕΡΕΙΑ!$A$2:$A$14,ΠΕΡΙΦΕΡΕΙΑ!$B$2:$B$14)</f>
        <v>Ολική</v>
      </c>
      <c r="H295" t="str">
        <f t="shared" si="25"/>
        <v/>
      </c>
      <c r="I295" t="e">
        <f t="shared" si="26"/>
        <v>#NUM!</v>
      </c>
      <c r="J295" t="str">
        <f t="shared" si="27"/>
        <v/>
      </c>
      <c r="K295" t="str">
        <f t="shared" si="28"/>
        <v/>
      </c>
      <c r="L295" s="163" t="s">
        <v>420</v>
      </c>
      <c r="M295" t="str">
        <f t="shared" si="24"/>
        <v/>
      </c>
      <c r="N295"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96" spans="1:14" x14ac:dyDescent="0.25">
      <c r="A296">
        <v>295</v>
      </c>
      <c r="B296" t="s">
        <v>413</v>
      </c>
      <c r="C296" t="s">
        <v>398</v>
      </c>
      <c r="D296" t="s">
        <v>337</v>
      </c>
      <c r="E296" s="197" t="s">
        <v>869</v>
      </c>
      <c r="F296" s="197">
        <v>14350</v>
      </c>
      <c r="G296" t="str">
        <f>LOOKUP(B296,ΠΕΡΙΦΕΡΕΙΑ!$A$2:$A$14,ΠΕΡΙΦΕΡΕΙΑ!$B$2:$B$14)</f>
        <v>Ολική</v>
      </c>
      <c r="H296" t="str">
        <f t="shared" si="25"/>
        <v/>
      </c>
      <c r="I296" t="e">
        <f t="shared" si="26"/>
        <v>#NUM!</v>
      </c>
      <c r="J296" t="str">
        <f t="shared" si="27"/>
        <v/>
      </c>
      <c r="K296" t="str">
        <f t="shared" si="28"/>
        <v/>
      </c>
      <c r="L296" s="163" t="s">
        <v>420</v>
      </c>
      <c r="M296" t="str">
        <f t="shared" si="24"/>
        <v/>
      </c>
      <c r="N296"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97" spans="1:14" x14ac:dyDescent="0.25">
      <c r="A297">
        <v>296</v>
      </c>
      <c r="B297" t="s">
        <v>413</v>
      </c>
      <c r="C297" t="s">
        <v>398</v>
      </c>
      <c r="D297" t="s">
        <v>338</v>
      </c>
      <c r="E297" s="197" t="s">
        <v>870</v>
      </c>
      <c r="F297" s="197">
        <v>14426</v>
      </c>
      <c r="G297" t="str">
        <f>LOOKUP(B297,ΠΕΡΙΦΕΡΕΙΑ!$A$2:$A$14,ΠΕΡΙΦΕΡΕΙΑ!$B$2:$B$14)</f>
        <v>Ολική</v>
      </c>
      <c r="H297" t="str">
        <f t="shared" si="25"/>
        <v/>
      </c>
      <c r="I297" t="e">
        <f t="shared" si="26"/>
        <v>#NUM!</v>
      </c>
      <c r="J297" t="str">
        <f t="shared" si="27"/>
        <v/>
      </c>
      <c r="K297" t="str">
        <f t="shared" si="28"/>
        <v/>
      </c>
      <c r="L297" s="163" t="s">
        <v>420</v>
      </c>
      <c r="M297" t="str">
        <f t="shared" si="24"/>
        <v/>
      </c>
      <c r="N297"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98" spans="1:14" x14ac:dyDescent="0.25">
      <c r="A298">
        <v>297</v>
      </c>
      <c r="B298" t="s">
        <v>413</v>
      </c>
      <c r="C298" t="s">
        <v>396</v>
      </c>
      <c r="D298" t="s">
        <v>328</v>
      </c>
      <c r="E298" s="197" t="s">
        <v>871</v>
      </c>
      <c r="F298" s="197">
        <v>14460</v>
      </c>
      <c r="G298" t="str">
        <f>LOOKUP(B298,ΠΕΡΙΦΕΡΕΙΑ!$A$2:$A$14,ΠΕΡΙΦΕΡΕΙΑ!$B$2:$B$14)</f>
        <v>Ολική</v>
      </c>
      <c r="H298" t="str">
        <f t="shared" si="25"/>
        <v/>
      </c>
      <c r="I298" t="e">
        <f t="shared" si="26"/>
        <v>#NUM!</v>
      </c>
      <c r="J298" t="str">
        <f t="shared" si="27"/>
        <v/>
      </c>
      <c r="K298" t="str">
        <f t="shared" si="28"/>
        <v/>
      </c>
      <c r="L298" s="163" t="s">
        <v>420</v>
      </c>
      <c r="M298" t="str">
        <f t="shared" si="24"/>
        <v/>
      </c>
      <c r="N298"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99" spans="1:14" x14ac:dyDescent="0.25">
      <c r="A299">
        <v>298</v>
      </c>
      <c r="B299" t="s">
        <v>413</v>
      </c>
      <c r="C299" t="s">
        <v>397</v>
      </c>
      <c r="D299" t="s">
        <v>333</v>
      </c>
      <c r="E299" s="197" t="s">
        <v>872</v>
      </c>
      <c r="F299" s="197">
        <v>14478</v>
      </c>
      <c r="G299" t="str">
        <f>LOOKUP(B299,ΠΕΡΙΦΕΡΕΙΑ!$A$2:$A$14,ΠΕΡΙΦΕΡΕΙΑ!$B$2:$B$14)</f>
        <v>Ολική</v>
      </c>
      <c r="H299" t="str">
        <f t="shared" si="25"/>
        <v/>
      </c>
      <c r="I299" t="e">
        <f t="shared" si="26"/>
        <v>#NUM!</v>
      </c>
      <c r="J299" t="str">
        <f t="shared" si="27"/>
        <v/>
      </c>
      <c r="K299" t="str">
        <f t="shared" si="28"/>
        <v/>
      </c>
      <c r="L299" s="163" t="s">
        <v>420</v>
      </c>
      <c r="M299" t="str">
        <f t="shared" si="24"/>
        <v/>
      </c>
      <c r="N299"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00" spans="1:14" x14ac:dyDescent="0.25">
      <c r="A300">
        <v>299</v>
      </c>
      <c r="B300" t="s">
        <v>413</v>
      </c>
      <c r="C300" t="s">
        <v>395</v>
      </c>
      <c r="D300" t="s">
        <v>322</v>
      </c>
      <c r="E300" s="197" t="s">
        <v>873</v>
      </c>
      <c r="F300" s="197">
        <v>14500</v>
      </c>
      <c r="G300" t="str">
        <f>LOOKUP(B300,ΠΕΡΙΦΕΡΕΙΑ!$A$2:$A$14,ΠΕΡΙΦΕΡΕΙΑ!$B$2:$B$14)</f>
        <v>Ολική</v>
      </c>
      <c r="H300" t="str">
        <f t="shared" si="25"/>
        <v/>
      </c>
      <c r="I300" t="e">
        <f t="shared" si="26"/>
        <v>#NUM!</v>
      </c>
      <c r="J300" t="str">
        <f t="shared" si="27"/>
        <v/>
      </c>
      <c r="K300" t="str">
        <f t="shared" si="28"/>
        <v/>
      </c>
      <c r="L300" s="163" t="s">
        <v>420</v>
      </c>
      <c r="M300" t="str">
        <f t="shared" si="24"/>
        <v/>
      </c>
      <c r="N300"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01" spans="1:14" x14ac:dyDescent="0.25">
      <c r="A301">
        <v>300</v>
      </c>
      <c r="B301" t="s">
        <v>413</v>
      </c>
      <c r="C301" t="s">
        <v>398</v>
      </c>
      <c r="D301" t="s">
        <v>339</v>
      </c>
      <c r="E301" s="197" t="s">
        <v>874</v>
      </c>
      <c r="F301" s="197">
        <v>14504</v>
      </c>
      <c r="G301" t="str">
        <f>LOOKUP(B301,ΠΕΡΙΦΕΡΕΙΑ!$A$2:$A$14,ΠΕΡΙΦΕΡΕΙΑ!$B$2:$B$14)</f>
        <v>Ολική</v>
      </c>
      <c r="H301" t="str">
        <f t="shared" si="25"/>
        <v/>
      </c>
      <c r="I301" t="e">
        <f t="shared" si="26"/>
        <v>#NUM!</v>
      </c>
      <c r="J301" t="str">
        <f t="shared" si="27"/>
        <v/>
      </c>
      <c r="K301" t="str">
        <f t="shared" si="28"/>
        <v/>
      </c>
      <c r="L301" s="163" t="s">
        <v>420</v>
      </c>
      <c r="M301" t="str">
        <f t="shared" si="24"/>
        <v/>
      </c>
      <c r="N301"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02" spans="1:14" x14ac:dyDescent="0.25">
      <c r="A302">
        <v>301</v>
      </c>
      <c r="B302" t="s">
        <v>414</v>
      </c>
      <c r="C302" t="s">
        <v>401</v>
      </c>
      <c r="D302" t="s">
        <v>354</v>
      </c>
      <c r="E302" s="197" t="s">
        <v>875</v>
      </c>
      <c r="F302" s="197">
        <v>13940</v>
      </c>
      <c r="G302" t="str">
        <f>LOOKUP(B302,ΠΕΡΙΦΕΡΕΙΑ!$A$2:$A$14,ΠΕΡΙΦΕΡΕΙΑ!$B$2:$B$14)</f>
        <v>Ολική</v>
      </c>
      <c r="H302" t="str">
        <f t="shared" si="25"/>
        <v/>
      </c>
      <c r="I302" t="e">
        <f t="shared" si="26"/>
        <v>#NUM!</v>
      </c>
      <c r="J302" t="str">
        <f t="shared" si="27"/>
        <v/>
      </c>
      <c r="K302" t="str">
        <f t="shared" si="28"/>
        <v/>
      </c>
      <c r="L302" s="163" t="s">
        <v>420</v>
      </c>
      <c r="M302" t="str">
        <f t="shared" si="24"/>
        <v/>
      </c>
      <c r="N302"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03" spans="1:14" x14ac:dyDescent="0.25">
      <c r="A303">
        <v>302</v>
      </c>
      <c r="B303" t="s">
        <v>414</v>
      </c>
      <c r="C303" t="s">
        <v>399</v>
      </c>
      <c r="D303" t="s">
        <v>340</v>
      </c>
      <c r="E303" s="197" t="s">
        <v>876</v>
      </c>
      <c r="F303" s="197">
        <v>13954</v>
      </c>
      <c r="G303" t="str">
        <f>LOOKUP(B303,ΠΕΡΙΦΕΡΕΙΑ!$A$2:$A$14,ΠΕΡΙΦΕΡΕΙΑ!$B$2:$B$14)</f>
        <v>Ολική</v>
      </c>
      <c r="H303" t="str">
        <f t="shared" si="25"/>
        <v/>
      </c>
      <c r="I303" t="e">
        <f t="shared" si="26"/>
        <v>#NUM!</v>
      </c>
      <c r="J303" t="str">
        <f t="shared" si="27"/>
        <v/>
      </c>
      <c r="K303" t="str">
        <f t="shared" si="28"/>
        <v/>
      </c>
      <c r="L303" s="163" t="s">
        <v>420</v>
      </c>
      <c r="M303" t="str">
        <f t="shared" si="24"/>
        <v/>
      </c>
      <c r="N303"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04" spans="1:14" x14ac:dyDescent="0.25">
      <c r="A304">
        <v>303</v>
      </c>
      <c r="B304" t="s">
        <v>414</v>
      </c>
      <c r="C304" t="s">
        <v>402</v>
      </c>
      <c r="D304" t="s">
        <v>356</v>
      </c>
      <c r="E304" s="197" t="s">
        <v>877</v>
      </c>
      <c r="F304" s="197">
        <v>13972</v>
      </c>
      <c r="G304" t="str">
        <f>LOOKUP(B304,ΠΕΡΙΦΕΡΕΙΑ!$A$2:$A$14,ΠΕΡΙΦΕΡΕΙΑ!$B$2:$B$14)</f>
        <v>Ολική</v>
      </c>
      <c r="H304" t="str">
        <f t="shared" si="25"/>
        <v/>
      </c>
      <c r="I304" t="e">
        <f t="shared" si="26"/>
        <v>#NUM!</v>
      </c>
      <c r="J304" t="str">
        <f t="shared" si="27"/>
        <v/>
      </c>
      <c r="K304" t="str">
        <f t="shared" si="28"/>
        <v/>
      </c>
      <c r="L304" s="163" t="s">
        <v>420</v>
      </c>
      <c r="M304" t="str">
        <f t="shared" si="24"/>
        <v/>
      </c>
      <c r="N304"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05" spans="1:14" x14ac:dyDescent="0.25">
      <c r="A305">
        <v>304</v>
      </c>
      <c r="B305" t="s">
        <v>414</v>
      </c>
      <c r="C305" t="s">
        <v>403</v>
      </c>
      <c r="D305" t="s">
        <v>363</v>
      </c>
      <c r="E305" s="197" t="s">
        <v>878</v>
      </c>
      <c r="F305" s="197">
        <v>14052</v>
      </c>
      <c r="G305" t="str">
        <f>LOOKUP(B305,ΠΕΡΙΦΕΡΕΙΑ!$A$2:$A$14,ΠΕΡΙΦΕΡΕΙΑ!$B$2:$B$14)</f>
        <v>Ολική</v>
      </c>
      <c r="H305" t="str">
        <f t="shared" si="25"/>
        <v/>
      </c>
      <c r="I305" t="e">
        <f t="shared" si="26"/>
        <v>#NUM!</v>
      </c>
      <c r="J305" t="str">
        <f t="shared" si="27"/>
        <v/>
      </c>
      <c r="K305" t="str">
        <f t="shared" si="28"/>
        <v/>
      </c>
      <c r="L305" s="163" t="s">
        <v>420</v>
      </c>
      <c r="M305" t="str">
        <f t="shared" si="24"/>
        <v/>
      </c>
      <c r="N305"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06" spans="1:14" x14ac:dyDescent="0.25">
      <c r="A306">
        <v>305</v>
      </c>
      <c r="B306" t="s">
        <v>414</v>
      </c>
      <c r="C306" t="s">
        <v>400</v>
      </c>
      <c r="D306" t="s">
        <v>346</v>
      </c>
      <c r="E306" s="197" t="s">
        <v>879</v>
      </c>
      <c r="F306" s="197">
        <v>14064</v>
      </c>
      <c r="G306" t="str">
        <f>LOOKUP(B306,ΠΕΡΙΦΕΡΕΙΑ!$A$2:$A$14,ΠΕΡΙΦΕΡΕΙΑ!$B$2:$B$14)</f>
        <v>Ολική</v>
      </c>
      <c r="H306" t="str">
        <f t="shared" si="25"/>
        <v/>
      </c>
      <c r="I306" t="e">
        <f t="shared" si="26"/>
        <v>#NUM!</v>
      </c>
      <c r="J306" t="str">
        <f t="shared" si="27"/>
        <v/>
      </c>
      <c r="K306" t="str">
        <f t="shared" si="28"/>
        <v/>
      </c>
      <c r="L306" s="163" t="s">
        <v>420</v>
      </c>
      <c r="M306" t="str">
        <f t="shared" si="24"/>
        <v/>
      </c>
      <c r="N306"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07" spans="1:14" x14ac:dyDescent="0.25">
      <c r="A307">
        <v>306</v>
      </c>
      <c r="B307" t="s">
        <v>414</v>
      </c>
      <c r="C307" t="s">
        <v>399</v>
      </c>
      <c r="D307" t="s">
        <v>341</v>
      </c>
      <c r="E307" s="197" t="s">
        <v>880</v>
      </c>
      <c r="F307" s="197">
        <v>14056</v>
      </c>
      <c r="G307" t="str">
        <f>LOOKUP(B307,ΠΕΡΙΦΕΡΕΙΑ!$A$2:$A$14,ΠΕΡΙΦΕΡΕΙΑ!$B$2:$B$14)</f>
        <v>Ολική</v>
      </c>
      <c r="H307" t="str">
        <f t="shared" si="25"/>
        <v/>
      </c>
      <c r="I307" t="e">
        <f t="shared" si="26"/>
        <v>#NUM!</v>
      </c>
      <c r="J307" t="str">
        <f t="shared" si="27"/>
        <v/>
      </c>
      <c r="K307" t="str">
        <f t="shared" si="28"/>
        <v/>
      </c>
      <c r="L307" s="163" t="s">
        <v>420</v>
      </c>
      <c r="M307" t="str">
        <f t="shared" si="24"/>
        <v/>
      </c>
      <c r="N307"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08" spans="1:14" x14ac:dyDescent="0.25">
      <c r="A308">
        <v>307</v>
      </c>
      <c r="B308" t="s">
        <v>414</v>
      </c>
      <c r="C308" t="s">
        <v>402</v>
      </c>
      <c r="D308" t="s">
        <v>357</v>
      </c>
      <c r="E308" s="197" t="s">
        <v>881</v>
      </c>
      <c r="F308" s="197">
        <v>14066</v>
      </c>
      <c r="G308" t="str">
        <f>LOOKUP(B308,ΠΕΡΙΦΕΡΕΙΑ!$A$2:$A$14,ΠΕΡΙΦΕΡΕΙΑ!$B$2:$B$14)</f>
        <v>Ολική</v>
      </c>
      <c r="H308" t="str">
        <f t="shared" si="25"/>
        <v/>
      </c>
      <c r="I308" t="e">
        <f t="shared" si="26"/>
        <v>#NUM!</v>
      </c>
      <c r="J308" t="str">
        <f t="shared" si="27"/>
        <v/>
      </c>
      <c r="K308" t="str">
        <f t="shared" si="28"/>
        <v/>
      </c>
      <c r="L308" s="163" t="s">
        <v>420</v>
      </c>
      <c r="M308" t="str">
        <f t="shared" si="24"/>
        <v/>
      </c>
      <c r="N308"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09" spans="1:14" x14ac:dyDescent="0.25">
      <c r="A309">
        <v>308</v>
      </c>
      <c r="B309" t="s">
        <v>414</v>
      </c>
      <c r="C309" t="s">
        <v>403</v>
      </c>
      <c r="D309" t="s">
        <v>364</v>
      </c>
      <c r="E309" s="197" t="s">
        <v>882</v>
      </c>
      <c r="F309" s="197">
        <v>14078</v>
      </c>
      <c r="G309" t="str">
        <f>LOOKUP(B309,ΠΕΡΙΦΕΡΕΙΑ!$A$2:$A$14,ΠΕΡΙΦΕΡΕΙΑ!$B$2:$B$14)</f>
        <v>Ολική</v>
      </c>
      <c r="H309" t="str">
        <f t="shared" si="25"/>
        <v/>
      </c>
      <c r="I309" t="e">
        <f t="shared" si="26"/>
        <v>#NUM!</v>
      </c>
      <c r="J309" t="str">
        <f t="shared" si="27"/>
        <v/>
      </c>
      <c r="K309" t="str">
        <f t="shared" si="28"/>
        <v/>
      </c>
      <c r="L309" s="163" t="s">
        <v>420</v>
      </c>
      <c r="M309" t="str">
        <f t="shared" si="24"/>
        <v/>
      </c>
      <c r="N309"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10" spans="1:14" x14ac:dyDescent="0.25">
      <c r="A310">
        <v>309</v>
      </c>
      <c r="B310" t="s">
        <v>414</v>
      </c>
      <c r="C310" t="s">
        <v>400</v>
      </c>
      <c r="D310" t="s">
        <v>347</v>
      </c>
      <c r="E310" s="197" t="s">
        <v>883</v>
      </c>
      <c r="F310" s="197">
        <v>14094</v>
      </c>
      <c r="G310" t="str">
        <f>LOOKUP(B310,ΠΕΡΙΦΕΡΕΙΑ!$A$2:$A$14,ΠΕΡΙΦΕΡΕΙΑ!$B$2:$B$14)</f>
        <v>Ολική</v>
      </c>
      <c r="H310" t="str">
        <f t="shared" si="25"/>
        <v/>
      </c>
      <c r="I310" t="e">
        <f t="shared" si="26"/>
        <v>#NUM!</v>
      </c>
      <c r="J310" t="str">
        <f t="shared" si="27"/>
        <v/>
      </c>
      <c r="K310" t="str">
        <f t="shared" si="28"/>
        <v/>
      </c>
      <c r="L310" s="163" t="s">
        <v>420</v>
      </c>
      <c r="M310" t="str">
        <f t="shared" si="24"/>
        <v/>
      </c>
      <c r="N310"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11" spans="1:14" x14ac:dyDescent="0.25">
      <c r="A311">
        <v>310</v>
      </c>
      <c r="B311" t="s">
        <v>414</v>
      </c>
      <c r="C311" t="s">
        <v>399</v>
      </c>
      <c r="D311" t="s">
        <v>342</v>
      </c>
      <c r="E311" s="197" t="s">
        <v>884</v>
      </c>
      <c r="F311" s="197">
        <v>14132</v>
      </c>
      <c r="G311" t="str">
        <f>LOOKUP(B311,ΠΕΡΙΦΕΡΕΙΑ!$A$2:$A$14,ΠΕΡΙΦΕΡΕΙΑ!$B$2:$B$14)</f>
        <v>Ολική</v>
      </c>
      <c r="H311" t="str">
        <f t="shared" si="25"/>
        <v/>
      </c>
      <c r="I311" t="e">
        <f t="shared" si="26"/>
        <v>#NUM!</v>
      </c>
      <c r="J311" t="str">
        <f t="shared" si="27"/>
        <v/>
      </c>
      <c r="K311" t="str">
        <f t="shared" si="28"/>
        <v/>
      </c>
      <c r="L311" s="163" t="s">
        <v>420</v>
      </c>
      <c r="M311" t="str">
        <f t="shared" si="24"/>
        <v/>
      </c>
      <c r="N311"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12" spans="1:14" x14ac:dyDescent="0.25">
      <c r="A312">
        <v>311</v>
      </c>
      <c r="B312" t="s">
        <v>414</v>
      </c>
      <c r="C312" t="s">
        <v>400</v>
      </c>
      <c r="D312" t="s">
        <v>348</v>
      </c>
      <c r="E312" s="197" t="s">
        <v>885</v>
      </c>
      <c r="F312" s="197">
        <v>14152</v>
      </c>
      <c r="G312" t="str">
        <f>LOOKUP(B312,ΠΕΡΙΦΕΡΕΙΑ!$A$2:$A$14,ΠΕΡΙΦΕΡΕΙΑ!$B$2:$B$14)</f>
        <v>Ολική</v>
      </c>
      <c r="H312" t="str">
        <f t="shared" si="25"/>
        <v/>
      </c>
      <c r="I312" t="e">
        <f t="shared" si="26"/>
        <v>#NUM!</v>
      </c>
      <c r="J312" t="str">
        <f t="shared" si="27"/>
        <v/>
      </c>
      <c r="K312" t="str">
        <f t="shared" si="28"/>
        <v/>
      </c>
      <c r="L312" s="163" t="s">
        <v>420</v>
      </c>
      <c r="M312" t="str">
        <f t="shared" si="24"/>
        <v/>
      </c>
      <c r="N312"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13" spans="1:14" x14ac:dyDescent="0.25">
      <c r="A313">
        <v>312</v>
      </c>
      <c r="B313" t="s">
        <v>414</v>
      </c>
      <c r="C313" t="s">
        <v>401</v>
      </c>
      <c r="D313" t="s">
        <v>355</v>
      </c>
      <c r="E313" s="197" t="s">
        <v>886</v>
      </c>
      <c r="F313" s="197">
        <v>14194</v>
      </c>
      <c r="G313" t="str">
        <f>LOOKUP(B313,ΠΕΡΙΦΕΡΕΙΑ!$A$2:$A$14,ΠΕΡΙΦΕΡΕΙΑ!$B$2:$B$14)</f>
        <v>Ολική</v>
      </c>
      <c r="H313" t="str">
        <f t="shared" si="25"/>
        <v/>
      </c>
      <c r="I313" t="e">
        <f t="shared" si="26"/>
        <v>#NUM!</v>
      </c>
      <c r="J313" t="str">
        <f t="shared" si="27"/>
        <v/>
      </c>
      <c r="K313" t="str">
        <f t="shared" si="28"/>
        <v/>
      </c>
      <c r="L313" s="163" t="s">
        <v>420</v>
      </c>
      <c r="M313" t="str">
        <f t="shared" si="24"/>
        <v/>
      </c>
      <c r="N313"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14" spans="1:14" x14ac:dyDescent="0.25">
      <c r="A314">
        <v>313</v>
      </c>
      <c r="B314" t="s">
        <v>414</v>
      </c>
      <c r="C314" t="s">
        <v>400</v>
      </c>
      <c r="D314" t="s">
        <v>349</v>
      </c>
      <c r="E314" s="197" t="s">
        <v>887</v>
      </c>
      <c r="F314" s="197">
        <v>14196</v>
      </c>
      <c r="G314" t="str">
        <f>LOOKUP(B314,ΠΕΡΙΦΕΡΕΙΑ!$A$2:$A$14,ΠΕΡΙΦΕΡΕΙΑ!$B$2:$B$14)</f>
        <v>Ολική</v>
      </c>
      <c r="H314" t="str">
        <f t="shared" si="25"/>
        <v/>
      </c>
      <c r="I314" t="e">
        <f t="shared" si="26"/>
        <v>#NUM!</v>
      </c>
      <c r="J314" t="str">
        <f t="shared" si="27"/>
        <v/>
      </c>
      <c r="K314" t="str">
        <f t="shared" si="28"/>
        <v/>
      </c>
      <c r="L314" s="163" t="s">
        <v>420</v>
      </c>
      <c r="M314" t="str">
        <f t="shared" si="24"/>
        <v/>
      </c>
      <c r="N314"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15" spans="1:14" x14ac:dyDescent="0.25">
      <c r="A315">
        <v>314</v>
      </c>
      <c r="B315" t="s">
        <v>414</v>
      </c>
      <c r="C315" t="s">
        <v>400</v>
      </c>
      <c r="D315" t="s">
        <v>350</v>
      </c>
      <c r="E315" s="197" t="s">
        <v>888</v>
      </c>
      <c r="F315" s="197">
        <v>14234</v>
      </c>
      <c r="G315" t="str">
        <f>LOOKUP(B315,ΠΕΡΙΦΕΡΕΙΑ!$A$2:$A$14,ΠΕΡΙΦΕΡΕΙΑ!$B$2:$B$14)</f>
        <v>Ολική</v>
      </c>
      <c r="H315" t="str">
        <f t="shared" si="25"/>
        <v/>
      </c>
      <c r="I315" t="e">
        <f t="shared" si="26"/>
        <v>#NUM!</v>
      </c>
      <c r="J315" t="str">
        <f t="shared" si="27"/>
        <v/>
      </c>
      <c r="K315" t="str">
        <f t="shared" si="28"/>
        <v/>
      </c>
      <c r="L315" s="163" t="s">
        <v>420</v>
      </c>
      <c r="M315" t="str">
        <f t="shared" si="24"/>
        <v/>
      </c>
      <c r="N315"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16" spans="1:14" x14ac:dyDescent="0.25">
      <c r="A316">
        <v>315</v>
      </c>
      <c r="B316" t="s">
        <v>414</v>
      </c>
      <c r="C316" t="s">
        <v>402</v>
      </c>
      <c r="D316" t="s">
        <v>358</v>
      </c>
      <c r="E316" s="197" t="s">
        <v>889</v>
      </c>
      <c r="F316" s="197">
        <v>14236</v>
      </c>
      <c r="G316" t="str">
        <f>LOOKUP(B316,ΠΕΡΙΦΕΡΕΙΑ!$A$2:$A$14,ΠΕΡΙΦΕΡΕΙΑ!$B$2:$B$14)</f>
        <v>Ολική</v>
      </c>
      <c r="H316" t="str">
        <f t="shared" si="25"/>
        <v/>
      </c>
      <c r="I316" t="e">
        <f t="shared" si="26"/>
        <v>#NUM!</v>
      </c>
      <c r="J316" t="str">
        <f t="shared" si="27"/>
        <v/>
      </c>
      <c r="K316" t="str">
        <f t="shared" si="28"/>
        <v/>
      </c>
      <c r="L316" s="163" t="s">
        <v>420</v>
      </c>
      <c r="M316" t="str">
        <f t="shared" si="24"/>
        <v/>
      </c>
      <c r="N316"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17" spans="1:14" x14ac:dyDescent="0.25">
      <c r="A317">
        <v>316</v>
      </c>
      <c r="B317" t="s">
        <v>414</v>
      </c>
      <c r="C317" t="s">
        <v>399</v>
      </c>
      <c r="D317" t="s">
        <v>343</v>
      </c>
      <c r="E317" s="197" t="s">
        <v>890</v>
      </c>
      <c r="F317" s="197">
        <v>14250</v>
      </c>
      <c r="G317" t="str">
        <f>LOOKUP(B317,ΠΕΡΙΦΕΡΕΙΑ!$A$2:$A$14,ΠΕΡΙΦΕΡΕΙΑ!$B$2:$B$14)</f>
        <v>Ολική</v>
      </c>
      <c r="H317" t="str">
        <f t="shared" si="25"/>
        <v/>
      </c>
      <c r="I317" t="e">
        <f t="shared" si="26"/>
        <v>#NUM!</v>
      </c>
      <c r="J317" t="str">
        <f t="shared" si="27"/>
        <v/>
      </c>
      <c r="K317" t="str">
        <f t="shared" si="28"/>
        <v/>
      </c>
      <c r="L317" s="163" t="s">
        <v>420</v>
      </c>
      <c r="M317" t="str">
        <f t="shared" si="24"/>
        <v/>
      </c>
      <c r="N317"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18" spans="1:14" x14ac:dyDescent="0.25">
      <c r="A318">
        <v>317</v>
      </c>
      <c r="B318" t="s">
        <v>414</v>
      </c>
      <c r="C318" t="s">
        <v>402</v>
      </c>
      <c r="D318" t="s">
        <v>359</v>
      </c>
      <c r="E318" s="197" t="s">
        <v>891</v>
      </c>
      <c r="F318" s="197">
        <v>14242</v>
      </c>
      <c r="G318" t="str">
        <f>LOOKUP(B318,ΠΕΡΙΦΕΡΕΙΑ!$A$2:$A$14,ΠΕΡΙΦΕΡΕΙΑ!$B$2:$B$14)</f>
        <v>Ολική</v>
      </c>
      <c r="H318" t="str">
        <f t="shared" si="25"/>
        <v/>
      </c>
      <c r="I318" t="e">
        <f t="shared" si="26"/>
        <v>#NUM!</v>
      </c>
      <c r="J318" t="str">
        <f t="shared" si="27"/>
        <v/>
      </c>
      <c r="K318" t="str">
        <f t="shared" si="28"/>
        <v/>
      </c>
      <c r="L318" s="163" t="s">
        <v>420</v>
      </c>
      <c r="M318" t="str">
        <f t="shared" si="24"/>
        <v/>
      </c>
      <c r="N318"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19" spans="1:14" x14ac:dyDescent="0.25">
      <c r="A319">
        <v>318</v>
      </c>
      <c r="B319" t="s">
        <v>414</v>
      </c>
      <c r="C319" t="s">
        <v>402</v>
      </c>
      <c r="D319" t="s">
        <v>360</v>
      </c>
      <c r="E319" s="197" t="s">
        <v>892</v>
      </c>
      <c r="F319" s="197">
        <v>14262</v>
      </c>
      <c r="G319" t="str">
        <f>LOOKUP(B319,ΠΕΡΙΦΕΡΕΙΑ!$A$2:$A$14,ΠΕΡΙΦΕΡΕΙΑ!$B$2:$B$14)</f>
        <v>Ολική</v>
      </c>
      <c r="H319" t="str">
        <f t="shared" si="25"/>
        <v/>
      </c>
      <c r="I319" t="e">
        <f t="shared" si="26"/>
        <v>#NUM!</v>
      </c>
      <c r="J319" t="str">
        <f t="shared" si="27"/>
        <v/>
      </c>
      <c r="K319" t="str">
        <f t="shared" si="28"/>
        <v/>
      </c>
      <c r="L319" s="163" t="s">
        <v>420</v>
      </c>
      <c r="M319" t="str">
        <f t="shared" si="24"/>
        <v/>
      </c>
      <c r="N319"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20" spans="1:14" x14ac:dyDescent="0.25">
      <c r="A320">
        <v>319</v>
      </c>
      <c r="B320" t="s">
        <v>414</v>
      </c>
      <c r="C320" t="s">
        <v>400</v>
      </c>
      <c r="D320" t="s">
        <v>351</v>
      </c>
      <c r="E320" s="197" t="s">
        <v>893</v>
      </c>
      <c r="F320" s="197">
        <v>14276</v>
      </c>
      <c r="G320" t="str">
        <f>LOOKUP(B320,ΠΕΡΙΦΕΡΕΙΑ!$A$2:$A$14,ΠΕΡΙΦΕΡΕΙΑ!$B$2:$B$14)</f>
        <v>Ολική</v>
      </c>
      <c r="H320" t="str">
        <f t="shared" si="25"/>
        <v/>
      </c>
      <c r="I320" t="e">
        <f t="shared" si="26"/>
        <v>#NUM!</v>
      </c>
      <c r="J320" t="str">
        <f t="shared" si="27"/>
        <v/>
      </c>
      <c r="K320" t="str">
        <f t="shared" si="28"/>
        <v/>
      </c>
      <c r="L320" s="163" t="s">
        <v>420</v>
      </c>
      <c r="M320" t="str">
        <f t="shared" si="24"/>
        <v/>
      </c>
      <c r="N320"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21" spans="1:14" x14ac:dyDescent="0.25">
      <c r="A321">
        <v>320</v>
      </c>
      <c r="B321" t="s">
        <v>414</v>
      </c>
      <c r="C321" t="s">
        <v>402</v>
      </c>
      <c r="D321" t="s">
        <v>361</v>
      </c>
      <c r="E321" s="197" t="s">
        <v>894</v>
      </c>
      <c r="F321" s="197">
        <v>14308</v>
      </c>
      <c r="G321" t="str">
        <f>LOOKUP(B321,ΠΕΡΙΦΕΡΕΙΑ!$A$2:$A$14,ΠΕΡΙΦΕΡΕΙΑ!$B$2:$B$14)</f>
        <v>Ολική</v>
      </c>
      <c r="H321" t="str">
        <f t="shared" si="25"/>
        <v/>
      </c>
      <c r="I321" t="e">
        <f t="shared" si="26"/>
        <v>#NUM!</v>
      </c>
      <c r="J321" t="str">
        <f t="shared" si="27"/>
        <v/>
      </c>
      <c r="K321" t="str">
        <f t="shared" si="28"/>
        <v/>
      </c>
      <c r="L321" s="163" t="s">
        <v>420</v>
      </c>
      <c r="M321" t="str">
        <f t="shared" si="24"/>
        <v/>
      </c>
      <c r="N321"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22" spans="1:14" x14ac:dyDescent="0.25">
      <c r="A322">
        <v>321</v>
      </c>
      <c r="B322" t="s">
        <v>414</v>
      </c>
      <c r="C322" t="s">
        <v>399</v>
      </c>
      <c r="D322" t="s">
        <v>344</v>
      </c>
      <c r="E322" s="197" t="s">
        <v>895</v>
      </c>
      <c r="F322" s="197">
        <v>14356</v>
      </c>
      <c r="G322" t="str">
        <f>LOOKUP(B322,ΠΕΡΙΦΕΡΕΙΑ!$A$2:$A$14,ΠΕΡΙΦΕΡΕΙΑ!$B$2:$B$14)</f>
        <v>Ολική</v>
      </c>
      <c r="H322" t="str">
        <f t="shared" si="25"/>
        <v/>
      </c>
      <c r="I322" t="e">
        <f t="shared" si="26"/>
        <v>#NUM!</v>
      </c>
      <c r="J322" t="str">
        <f t="shared" si="27"/>
        <v/>
      </c>
      <c r="K322" t="str">
        <f t="shared" si="28"/>
        <v/>
      </c>
      <c r="L322" s="163" t="s">
        <v>420</v>
      </c>
      <c r="M322" t="str">
        <f t="shared" ref="M322:M326" si="30">IF(K322&lt;&gt;"",IF(L322="ΝΑΙ",J322&amp;" - "&amp;K322&amp;", ",""),"")</f>
        <v/>
      </c>
      <c r="N322"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23" spans="1:14" x14ac:dyDescent="0.25">
      <c r="A323">
        <v>322</v>
      </c>
      <c r="B323" t="s">
        <v>414</v>
      </c>
      <c r="C323" t="s">
        <v>400</v>
      </c>
      <c r="D323" t="s">
        <v>352</v>
      </c>
      <c r="E323" s="197" t="s">
        <v>896</v>
      </c>
      <c r="F323" s="197">
        <v>14474</v>
      </c>
      <c r="G323" t="str">
        <f>LOOKUP(B323,ΠΕΡΙΦΕΡΕΙΑ!$A$2:$A$14,ΠΕΡΙΦΕΡΕΙΑ!$B$2:$B$14)</f>
        <v>Ολική</v>
      </c>
      <c r="H323" t="str">
        <f t="shared" ref="H323:H326" si="31">IF(G323="Μερική",A323,"")</f>
        <v/>
      </c>
      <c r="I323" t="e">
        <f t="shared" ref="I323:I326" si="32">SMALL(H:H,A323)</f>
        <v>#NUM!</v>
      </c>
      <c r="J323" t="str">
        <f t="shared" ref="J323:J326" si="33">IF(ISNUMBER(I323),LOOKUP(I323,A:A,B:B),"")</f>
        <v/>
      </c>
      <c r="K323" t="str">
        <f t="shared" ref="K323:K326" si="34">IF(ISNUMBER(I323),LOOKUP(I323,A:A,D:D),"")</f>
        <v/>
      </c>
      <c r="L323" s="163" t="s">
        <v>420</v>
      </c>
      <c r="M323" t="str">
        <f t="shared" si="30"/>
        <v/>
      </c>
      <c r="N323" t="str">
        <f t="shared" si="29"/>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24" spans="1:14" x14ac:dyDescent="0.25">
      <c r="A324">
        <v>323</v>
      </c>
      <c r="B324" t="s">
        <v>414</v>
      </c>
      <c r="C324" t="s">
        <v>402</v>
      </c>
      <c r="D324" t="s">
        <v>362</v>
      </c>
      <c r="E324" s="197" t="s">
        <v>897</v>
      </c>
      <c r="F324" s="197">
        <v>14484</v>
      </c>
      <c r="G324" t="str">
        <f>LOOKUP(B324,ΠΕΡΙΦΕΡΕΙΑ!$A$2:$A$14,ΠΕΡΙΦΕΡΕΙΑ!$B$2:$B$14)</f>
        <v>Ολική</v>
      </c>
      <c r="H324" t="str">
        <f t="shared" si="31"/>
        <v/>
      </c>
      <c r="I324" t="e">
        <f t="shared" si="32"/>
        <v>#NUM!</v>
      </c>
      <c r="J324" t="str">
        <f t="shared" si="33"/>
        <v/>
      </c>
      <c r="K324" t="str">
        <f t="shared" si="34"/>
        <v/>
      </c>
      <c r="L324" s="163" t="s">
        <v>420</v>
      </c>
      <c r="M324" t="str">
        <f t="shared" si="30"/>
        <v/>
      </c>
      <c r="N324" t="str">
        <f t="shared" ref="N324:N326" si="35">N323&amp;M324</f>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25" spans="1:14" x14ac:dyDescent="0.25">
      <c r="A325">
        <v>324</v>
      </c>
      <c r="B325" t="s">
        <v>414</v>
      </c>
      <c r="C325" t="s">
        <v>399</v>
      </c>
      <c r="D325" t="s">
        <v>345</v>
      </c>
      <c r="E325" s="197" t="s">
        <v>898</v>
      </c>
      <c r="F325" s="197">
        <v>14444</v>
      </c>
      <c r="G325" t="str">
        <f>LOOKUP(B325,ΠΕΡΙΦΕΡΕΙΑ!$A$2:$A$14,ΠΕΡΙΦΕΡΕΙΑ!$B$2:$B$14)</f>
        <v>Ολική</v>
      </c>
      <c r="H325" t="str">
        <f t="shared" si="31"/>
        <v/>
      </c>
      <c r="I325" t="e">
        <f t="shared" si="32"/>
        <v>#NUM!</v>
      </c>
      <c r="J325" t="str">
        <f t="shared" si="33"/>
        <v/>
      </c>
      <c r="K325" t="str">
        <f t="shared" si="34"/>
        <v/>
      </c>
      <c r="L325" s="163" t="s">
        <v>420</v>
      </c>
      <c r="M325" t="str">
        <f t="shared" si="30"/>
        <v/>
      </c>
      <c r="N325" t="str">
        <f t="shared" si="3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326" spans="1:14" x14ac:dyDescent="0.25">
      <c r="A326">
        <v>325</v>
      </c>
      <c r="B326" t="s">
        <v>414</v>
      </c>
      <c r="C326" t="s">
        <v>400</v>
      </c>
      <c r="D326" t="s">
        <v>353</v>
      </c>
      <c r="E326" s="197" t="s">
        <v>899</v>
      </c>
      <c r="F326" s="197">
        <v>14538</v>
      </c>
      <c r="G326" t="str">
        <f>LOOKUP(B326,ΠΕΡΙΦΕΡΕΙΑ!$A$2:$A$14,ΠΕΡΙΦΕΡΕΙΑ!$B$2:$B$14)</f>
        <v>Ολική</v>
      </c>
      <c r="H326" t="str">
        <f t="shared" si="31"/>
        <v/>
      </c>
      <c r="I326" t="e">
        <f t="shared" si="32"/>
        <v>#NUM!</v>
      </c>
      <c r="J326" t="str">
        <f t="shared" si="33"/>
        <v/>
      </c>
      <c r="K326" t="str">
        <f t="shared" si="34"/>
        <v/>
      </c>
      <c r="L326" s="163" t="s">
        <v>420</v>
      </c>
      <c r="M326" t="str">
        <f t="shared" si="30"/>
        <v/>
      </c>
      <c r="N326" t="str">
        <f t="shared" si="35"/>
        <v xml:space="preserve">ΒΟΡΕΙΟΥ ΑΙΓΑΙΟΥ - ΛΕΣΒΟΥ, ΒΟΡΕΙΟΥ ΑΙΓΑΙΟΥ - ΣΑΜΟΥ, ΒΟΡΕΙΟΥ ΑΙΓΑΙΟΥ - ΧΙΟΥ, ΙΟΝΙΩΝ ΝΗΣΩΝ - ΖΑΚΥΝΘΟΥ, ΙΟΝΙΩΝ ΝΗΣΩΝ - ΚΕΡΚΥΡΑΣ, ΙΟΝΙΩΝ ΝΗΣΩΝ - ΚΕΦΑΛΟΝΙΑΣ, ΙΟΝΙΩΝ ΝΗΣΩΝ - ΛΕΥΚΑΔΑΣ, ΝΟΤΙΟΥ ΑΙΓΑΙΟΥ - ΑΝΔΡΟΥ, ΝΟΤΙΟΥ ΑΙΓΑΙΟΥ - ΘΗΡΑΣ, ΝΟΤΙΟΥ ΑΙΓΑΙΟΥ - ΚΩ, ΝΟΤΙΟΥ ΑΙΓΑΙΟΥ - ΜΗΛΟΥ,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sheetData>
  <sheetProtection algorithmName="SHA-512" hashValue="tLVTy9Q6xFkHZQmqi6KjIlSQCYJ2fiFmrdX94n7+xkNpOB/Y8oTXeFO1SryP1Rf+pK7Jcj2B9ZtF+YbygsuouA==" saltValue="jEM/9IHNe0KlJoDO0lfu9g==" spinCount="100000" sheet="1" objects="1" scenarios="1" selectLockedCells="1"/>
  <sortState ref="B2:D326">
    <sortCondition ref="B2:B326"/>
    <sortCondition ref="D2:D326"/>
  </sortState>
  <dataValidations count="1">
    <dataValidation type="list" allowBlank="1" showInputMessage="1" showErrorMessage="1" sqref="L2:L326">
      <formula1>DimosCoverage</formula1>
    </dataValidation>
  </dataValidations>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headerFooter>
    <oddFooter>&amp;L&amp;1#&amp;"Calibri"&amp;7&amp;K000000C2 General</oddFooter>
  </headerFooter>
  <extLst>
    <ext xmlns:x14="http://schemas.microsoft.com/office/spreadsheetml/2009/9/main" uri="{78C0D931-6437-407d-A8EE-F0AAD7539E65}">
      <x14:conditionalFormattings>
        <x14:conditionalFormatting xmlns:xm="http://schemas.microsoft.com/office/excel/2006/main">
          <x14:cfRule type="cellIs" priority="4" operator="equal" id="{24611733-2750-49E4-9C56-41658A63B3DA}">
            <xm:f>Lists!$G$4</xm:f>
            <x14:dxf>
              <font>
                <color rgb="FF9C0006"/>
              </font>
              <fill>
                <patternFill>
                  <bgColor rgb="FFFFC7CE"/>
                </patternFill>
              </fill>
            </x14:dxf>
          </x14:cfRule>
          <x14:cfRule type="cellIs" priority="5" operator="equal" id="{6FC7B71B-0517-41D5-ACFB-7D3C5A9D9304}">
            <xm:f>Lists!$G$3</xm:f>
            <x14:dxf>
              <font>
                <color rgb="FF006100"/>
              </font>
              <fill>
                <patternFill>
                  <bgColor rgb="FFC6EFCE"/>
                </patternFill>
              </fill>
            </x14:dxf>
          </x14:cfRule>
          <xm:sqref>L2:L1048576</xm:sqref>
        </x14:conditionalFormatting>
        <x14:conditionalFormatting xmlns:xm="http://schemas.microsoft.com/office/excel/2006/main">
          <x14:cfRule type="cellIs" priority="1" operator="equal" id="{D27E9CC4-C14A-4B3D-98B7-5E2AC41D0116}">
            <xm:f>Lists!$F$4</xm:f>
            <x14:dxf>
              <font>
                <color rgb="FF006100"/>
              </font>
              <fill>
                <patternFill>
                  <bgColor rgb="FFC6EFCE"/>
                </patternFill>
              </fill>
            </x14:dxf>
          </x14:cfRule>
          <x14:cfRule type="cellIs" priority="2" operator="equal" id="{505C78A1-39F9-49BA-A1E2-15C311C2113D}">
            <xm:f>Lists!$F$3</xm:f>
            <x14:dxf>
              <font>
                <color rgb="FF9C6500"/>
              </font>
              <fill>
                <patternFill>
                  <bgColor rgb="FFFFEB9C"/>
                </patternFill>
              </fill>
            </x14:dxf>
          </x14:cfRule>
          <x14:cfRule type="cellIs" priority="3" operator="equal" id="{BFB5E7D4-83A3-4E30-A073-85E66B105594}">
            <xm:f>Lists!$F$5</xm:f>
            <x14:dxf>
              <font>
                <color rgb="FF9C0006"/>
              </font>
              <fill>
                <patternFill>
                  <bgColor rgb="FFFFC7CE"/>
                </patternFill>
              </fill>
            </x14:dxf>
          </x14:cfRule>
          <xm:sqref>L1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6"/>
  <sheetViews>
    <sheetView showGridLines="0" workbookViewId="0">
      <selection activeCell="G326" sqref="G326"/>
    </sheetView>
  </sheetViews>
  <sheetFormatPr defaultColWidth="9.140625" defaultRowHeight="15" zeroHeight="1" x14ac:dyDescent="0.25"/>
  <cols>
    <col min="1" max="1" width="9.140625" style="199" customWidth="1"/>
    <col min="2" max="4" width="37.140625" customWidth="1"/>
    <col min="5" max="5" width="65.42578125" customWidth="1"/>
    <col min="6" max="6" width="30" style="197" customWidth="1"/>
    <col min="7" max="7" width="6" style="197" bestFit="1" customWidth="1"/>
    <col min="8" max="8" width="16.140625" customWidth="1"/>
    <col min="9" max="9" width="24" customWidth="1"/>
    <col min="10" max="10" width="26.7109375" customWidth="1"/>
    <col min="11" max="11" width="9.140625" style="199" customWidth="1"/>
    <col min="12" max="12" width="46.42578125" style="80" customWidth="1"/>
    <col min="13" max="13" width="58.28515625" style="80" customWidth="1"/>
    <col min="14" max="14" width="8.42578125" style="80" bestFit="1" customWidth="1"/>
    <col min="15" max="15" width="23.42578125" style="80" customWidth="1"/>
    <col min="16" max="16384" width="9.140625" style="80"/>
  </cols>
  <sheetData>
    <row r="1" spans="1:15" x14ac:dyDescent="0.25">
      <c r="A1" s="200" t="s">
        <v>417</v>
      </c>
      <c r="B1" s="25" t="s">
        <v>415</v>
      </c>
      <c r="C1" s="25" t="s">
        <v>38</v>
      </c>
      <c r="D1" s="25" t="s">
        <v>416</v>
      </c>
      <c r="E1" s="25"/>
      <c r="F1" s="25"/>
      <c r="G1" s="25"/>
      <c r="H1" s="25"/>
      <c r="I1" s="26"/>
      <c r="J1" s="26"/>
      <c r="K1" s="198"/>
      <c r="L1" s="25" t="s">
        <v>415</v>
      </c>
      <c r="M1" s="25" t="s">
        <v>496</v>
      </c>
      <c r="N1" s="25"/>
      <c r="O1" s="25"/>
    </row>
    <row r="2" spans="1:15" x14ac:dyDescent="0.25">
      <c r="A2" s="199">
        <v>1</v>
      </c>
      <c r="B2" t="s">
        <v>39</v>
      </c>
      <c r="C2" t="s">
        <v>57</v>
      </c>
      <c r="D2" t="s">
        <v>55</v>
      </c>
      <c r="E2" t="str">
        <f t="shared" ref="E2:E65" si="0">B2&amp;" - "&amp;D2&amp;", "</f>
        <v xml:space="preserve">ΑΝΑΤΟΛΙΚΗΣ ΜΑΚΕΔΟΝΙΑΣ ΚΑΙ ΘΡΑΚΗΣ - ΑΒΔΗΡΩΝ, </v>
      </c>
      <c r="F2" s="225" t="s">
        <v>576</v>
      </c>
      <c r="G2" s="225">
        <v>13920</v>
      </c>
      <c r="H2" t="str">
        <f>IFERROR(INDEX(DimosNaiOxi,MATCH(ΤΚ!E2,DimosNai,0)),"")</f>
        <v/>
      </c>
      <c r="I2" t="str">
        <f>LOOKUP(B2,ΠΕΡΙΦΕΡΕΙΑ!$A$2:$A$14,ΠΕΡΙΦΕΡΕΙΑ!$B$2:$B$14)</f>
        <v>Ολική</v>
      </c>
      <c r="J2">
        <f>IF(OR(AND(I2="Μερική",H2="ΝΑΙ"),I2="Ολική"),A2,"")</f>
        <v>1</v>
      </c>
      <c r="K2" s="199">
        <f t="shared" ref="K2:K65" si="1">SMALL(J:J,A2)</f>
        <v>1</v>
      </c>
      <c r="L2" t="str">
        <f t="shared" ref="L2:L65" si="2">IF(ISNUMBER(K2),LOOKUP(K2,A:A,B:B),"")</f>
        <v>ΑΝΑΤΟΛΙΚΗΣ ΜΑΚΕΔΟΝΙΑΣ ΚΑΙ ΘΡΑΚΗΣ</v>
      </c>
      <c r="M2" t="str">
        <f t="shared" ref="M2:M65" si="3">IF(ISNUMBER(K2),LOOKUP(K2,A:A,B:B)&amp;" - "&amp;LOOKUP(K2,A:A,D:D),"")</f>
        <v>ΑΝΑΤΟΛΙΚΗΣ ΜΑΚΕΔΟΝΙΑΣ ΚΑΙ ΘΡΑΚΗΣ - ΑΒΔΗΡΩΝ</v>
      </c>
      <c r="N2" s="197">
        <f t="shared" ref="N2:N66" si="4">IF(ISNUMBER(K2),LOOKUP(K2,A:A,G:G),"")</f>
        <v>13920</v>
      </c>
      <c r="O2" s="197" t="str">
        <f>IF(ISNUMBER(K2),LOOKUP(K2,A:A,F:F),"")</f>
        <v>Αβδήρων</v>
      </c>
    </row>
    <row r="3" spans="1:15" x14ac:dyDescent="0.25">
      <c r="A3" s="199">
        <v>2</v>
      </c>
      <c r="B3" t="s">
        <v>39</v>
      </c>
      <c r="C3" t="s">
        <v>365</v>
      </c>
      <c r="D3" t="s">
        <v>46</v>
      </c>
      <c r="E3" t="str">
        <f t="shared" si="0"/>
        <v xml:space="preserve">ΑΝΑΤΟΛΙΚΗΣ ΜΑΚΕΔΟΝΙΑΣ ΚΑΙ ΘΡΑΚΗΣ - ΑΛΕΞΑΝΔΡΟΥΠΟΛΗΣ, </v>
      </c>
      <c r="F3" s="225" t="s">
        <v>577</v>
      </c>
      <c r="G3" s="225">
        <v>13956</v>
      </c>
      <c r="H3" t="str">
        <f>IFERROR(INDEX(DimosNaiOxi,MATCH(ΤΚ!E3,DimosNai,0)),"")</f>
        <v/>
      </c>
      <c r="I3" t="str">
        <f>LOOKUP(B3,ΠΕΡΙΦΕΡΕΙΑ!$A$2:$A$14,ΠΕΡΙΦΕΡΕΙΑ!$B$2:$B$14)</f>
        <v>Ολική</v>
      </c>
      <c r="J3">
        <f t="shared" ref="J3:J66" si="5">IF(OR(AND(I3="Μερική",H3="ΝΑΙ"),I3="Ολική"),A3,"")</f>
        <v>2</v>
      </c>
      <c r="K3" s="199">
        <f t="shared" si="1"/>
        <v>2</v>
      </c>
      <c r="L3" t="str">
        <f t="shared" si="2"/>
        <v>ΑΝΑΤΟΛΙΚΗΣ ΜΑΚΕΔΟΝΙΑΣ ΚΑΙ ΘΡΑΚΗΣ</v>
      </c>
      <c r="M3" t="str">
        <f t="shared" si="3"/>
        <v>ΑΝΑΤΟΛΙΚΗΣ ΜΑΚΕΔΟΝΙΑΣ ΚΑΙ ΘΡΑΚΗΣ - ΑΛΕΞΑΝΔΡΟΥΠΟΛΗΣ</v>
      </c>
      <c r="N3" s="197">
        <f t="shared" si="4"/>
        <v>13956</v>
      </c>
      <c r="O3" s="197" t="str">
        <f t="shared" ref="O3:O66" si="6">IF(ISNUMBER(K3),LOOKUP(K3,A:A,F:F),"")</f>
        <v>Αλεξανδρούπολης</v>
      </c>
    </row>
    <row r="4" spans="1:15" x14ac:dyDescent="0.25">
      <c r="A4" s="199">
        <v>3</v>
      </c>
      <c r="B4" t="s">
        <v>39</v>
      </c>
      <c r="C4" t="s">
        <v>366</v>
      </c>
      <c r="D4" t="s">
        <v>59</v>
      </c>
      <c r="E4" t="str">
        <f t="shared" si="0"/>
        <v xml:space="preserve">ΑΝΑΤΟΛΙΚΗΣ ΜΑΚΕΔΟΝΙΑΣ ΚΑΙ ΘΡΑΚΗΣ - ΑΡΡΙΑΝΩΝ, </v>
      </c>
      <c r="F4" s="225" t="s">
        <v>578</v>
      </c>
      <c r="G4" s="225">
        <v>14000</v>
      </c>
      <c r="H4" t="str">
        <f>IFERROR(INDEX(DimosNaiOxi,MATCH(ΤΚ!E4,DimosNai,0)),"")</f>
        <v/>
      </c>
      <c r="I4" t="str">
        <f>LOOKUP(B4,ΠΕΡΙΦΕΡΕΙΑ!$A$2:$A$14,ΠΕΡΙΦΕΡΕΙΑ!$B$2:$B$14)</f>
        <v>Ολική</v>
      </c>
      <c r="J4">
        <f t="shared" si="5"/>
        <v>3</v>
      </c>
      <c r="K4" s="199">
        <f t="shared" si="1"/>
        <v>3</v>
      </c>
      <c r="L4" t="str">
        <f t="shared" si="2"/>
        <v>ΑΝΑΤΟΛΙΚΗΣ ΜΑΚΕΔΟΝΙΑΣ ΚΑΙ ΘΡΑΚΗΣ</v>
      </c>
      <c r="M4" t="str">
        <f t="shared" si="3"/>
        <v>ΑΝΑΤΟΛΙΚΗΣ ΜΑΚΕΔΟΝΙΑΣ ΚΑΙ ΘΡΑΚΗΣ - ΑΡΡΙΑΝΩΝ</v>
      </c>
      <c r="N4" s="197">
        <f t="shared" si="4"/>
        <v>14000</v>
      </c>
      <c r="O4" s="197" t="str">
        <f t="shared" si="6"/>
        <v>Αρριανών</v>
      </c>
    </row>
    <row r="5" spans="1:15" x14ac:dyDescent="0.25">
      <c r="A5" s="199">
        <v>4</v>
      </c>
      <c r="B5" t="s">
        <v>39</v>
      </c>
      <c r="C5" t="s">
        <v>365</v>
      </c>
      <c r="D5" t="s">
        <v>47</v>
      </c>
      <c r="E5" t="str">
        <f t="shared" si="0"/>
        <v xml:space="preserve">ΑΝΑΤΟΛΙΚΗΣ ΜΑΚΕΔΟΝΙΑΣ ΚΑΙ ΘΡΑΚΗΣ - ΔΙΔΥΜΟΤΕΙΧΟΥ, </v>
      </c>
      <c r="F5" s="225" t="s">
        <v>579</v>
      </c>
      <c r="G5" s="225">
        <v>14062</v>
      </c>
      <c r="H5" t="str">
        <f>IFERROR(INDEX(DimosNaiOxi,MATCH(ΤΚ!E5,DimosNai,0)),"")</f>
        <v/>
      </c>
      <c r="I5" t="str">
        <f>LOOKUP(B5,ΠΕΡΙΦΕΡΕΙΑ!$A$2:$A$14,ΠΕΡΙΦΕΡΕΙΑ!$B$2:$B$14)</f>
        <v>Ολική</v>
      </c>
      <c r="J5">
        <f t="shared" si="5"/>
        <v>4</v>
      </c>
      <c r="K5" s="199">
        <f t="shared" si="1"/>
        <v>4</v>
      </c>
      <c r="L5" t="str">
        <f t="shared" si="2"/>
        <v>ΑΝΑΤΟΛΙΚΗΣ ΜΑΚΕΔΟΝΙΑΣ ΚΑΙ ΘΡΑΚΗΣ</v>
      </c>
      <c r="M5" t="str">
        <f t="shared" si="3"/>
        <v>ΑΝΑΤΟΛΙΚΗΣ ΜΑΚΕΔΟΝΙΑΣ ΚΑΙ ΘΡΑΚΗΣ - ΔΙΔΥΜΟΤΕΙΧΟΥ</v>
      </c>
      <c r="N5" s="197">
        <f t="shared" si="4"/>
        <v>14062</v>
      </c>
      <c r="O5" s="197" t="str">
        <f t="shared" si="6"/>
        <v>Διδυμοτείχου</v>
      </c>
    </row>
    <row r="6" spans="1:15" x14ac:dyDescent="0.25">
      <c r="A6" s="199">
        <v>5</v>
      </c>
      <c r="B6" t="s">
        <v>39</v>
      </c>
      <c r="C6" t="s">
        <v>42</v>
      </c>
      <c r="D6" t="s">
        <v>41</v>
      </c>
      <c r="E6" t="str">
        <f t="shared" si="0"/>
        <v xml:space="preserve">ΑΝΑΤΟΛΙΚΗΣ ΜΑΚΕΔΟΝΙΑΣ ΚΑΙ ΘΡΑΚΗΣ - ΔΟΞΑΤΟΥ, </v>
      </c>
      <c r="F6" s="225" t="s">
        <v>580</v>
      </c>
      <c r="G6" s="225">
        <v>14072</v>
      </c>
      <c r="H6" t="str">
        <f>IFERROR(INDEX(DimosNaiOxi,MATCH(ΤΚ!E6,DimosNai,0)),"")</f>
        <v/>
      </c>
      <c r="I6" t="str">
        <f>LOOKUP(B6,ΠΕΡΙΦΕΡΕΙΑ!$A$2:$A$14,ΠΕΡΙΦΕΡΕΙΑ!$B$2:$B$14)</f>
        <v>Ολική</v>
      </c>
      <c r="J6">
        <f t="shared" si="5"/>
        <v>5</v>
      </c>
      <c r="K6" s="199">
        <f t="shared" si="1"/>
        <v>5</v>
      </c>
      <c r="L6" t="str">
        <f t="shared" si="2"/>
        <v>ΑΝΑΤΟΛΙΚΗΣ ΜΑΚΕΔΟΝΙΑΣ ΚΑΙ ΘΡΑΚΗΣ</v>
      </c>
      <c r="M6" t="str">
        <f t="shared" si="3"/>
        <v>ΑΝΑΤΟΛΙΚΗΣ ΜΑΚΕΔΟΝΙΑΣ ΚΑΙ ΘΡΑΚΗΣ - ΔΟΞΑΤΟΥ</v>
      </c>
      <c r="N6" s="197">
        <f t="shared" si="4"/>
        <v>14072</v>
      </c>
      <c r="O6" s="197" t="str">
        <f t="shared" si="6"/>
        <v>Δοξάτου</v>
      </c>
    </row>
    <row r="7" spans="1:15" x14ac:dyDescent="0.25">
      <c r="A7" s="199">
        <v>6</v>
      </c>
      <c r="B7" t="s">
        <v>39</v>
      </c>
      <c r="C7" t="s">
        <v>42</v>
      </c>
      <c r="D7" t="s">
        <v>42</v>
      </c>
      <c r="E7" t="str">
        <f t="shared" si="0"/>
        <v xml:space="preserve">ΑΝΑΤΟΛΙΚΗΣ ΜΑΚΕΔΟΝΙΑΣ ΚΑΙ ΘΡΑΚΗΣ - ΔΡΑΜΑΣ, </v>
      </c>
      <c r="F7" s="225" t="s">
        <v>581</v>
      </c>
      <c r="G7" s="225">
        <v>14074</v>
      </c>
      <c r="H7" t="str">
        <f>IFERROR(INDEX(DimosNaiOxi,MATCH(ΤΚ!E7,DimosNai,0)),"")</f>
        <v/>
      </c>
      <c r="I7" t="str">
        <f>LOOKUP(B7,ΠΕΡΙΦΕΡΕΙΑ!$A$2:$A$14,ΠΕΡΙΦΕΡΕΙΑ!$B$2:$B$14)</f>
        <v>Ολική</v>
      </c>
      <c r="J7">
        <f t="shared" si="5"/>
        <v>6</v>
      </c>
      <c r="K7" s="199">
        <f t="shared" si="1"/>
        <v>6</v>
      </c>
      <c r="L7" t="str">
        <f t="shared" si="2"/>
        <v>ΑΝΑΤΟΛΙΚΗΣ ΜΑΚΕΔΟΝΙΑΣ ΚΑΙ ΘΡΑΚΗΣ</v>
      </c>
      <c r="M7" t="str">
        <f t="shared" si="3"/>
        <v>ΑΝΑΤΟΛΙΚΗΣ ΜΑΚΕΔΟΝΙΑΣ ΚΑΙ ΘΡΑΚΗΣ - ΔΡΑΜΑΣ</v>
      </c>
      <c r="N7" s="197">
        <f t="shared" si="4"/>
        <v>14074</v>
      </c>
      <c r="O7" s="197" t="str">
        <f t="shared" si="6"/>
        <v>Δράμας</v>
      </c>
    </row>
    <row r="8" spans="1:15" x14ac:dyDescent="0.25">
      <c r="A8" s="199">
        <v>7</v>
      </c>
      <c r="B8" t="s">
        <v>39</v>
      </c>
      <c r="C8" t="s">
        <v>51</v>
      </c>
      <c r="D8" t="s">
        <v>51</v>
      </c>
      <c r="E8" t="str">
        <f t="shared" si="0"/>
        <v xml:space="preserve">ΑΝΑΤΟΛΙΚΗΣ ΜΑΚΕΔΟΝΙΑΣ ΚΑΙ ΘΡΑΚΗΣ - ΘΑΣΟΥ, </v>
      </c>
      <c r="F8" s="225" t="s">
        <v>582</v>
      </c>
      <c r="G8" s="225">
        <v>14128</v>
      </c>
      <c r="H8" t="str">
        <f>IFERROR(INDEX(DimosNaiOxi,MATCH(ΤΚ!E8,DimosNai,0)),"")</f>
        <v/>
      </c>
      <c r="I8" t="str">
        <f>LOOKUP(B8,ΠΕΡΙΦΕΡΕΙΑ!$A$2:$A$14,ΠΕΡΙΦΕΡΕΙΑ!$B$2:$B$14)</f>
        <v>Ολική</v>
      </c>
      <c r="J8">
        <f t="shared" si="5"/>
        <v>7</v>
      </c>
      <c r="K8" s="199">
        <f t="shared" si="1"/>
        <v>7</v>
      </c>
      <c r="L8" t="str">
        <f t="shared" si="2"/>
        <v>ΑΝΑΤΟΛΙΚΗΣ ΜΑΚΕΔΟΝΙΑΣ ΚΑΙ ΘΡΑΚΗΣ</v>
      </c>
      <c r="M8" t="str">
        <f t="shared" si="3"/>
        <v>ΑΝΑΤΟΛΙΚΗΣ ΜΑΚΕΔΟΝΙΑΣ ΚΑΙ ΘΡΑΚΗΣ - ΘΑΣΟΥ</v>
      </c>
      <c r="N8" s="197">
        <f t="shared" si="4"/>
        <v>14128</v>
      </c>
      <c r="O8" s="197" t="str">
        <f t="shared" si="6"/>
        <v>Θάσου</v>
      </c>
    </row>
    <row r="9" spans="1:15" x14ac:dyDescent="0.25">
      <c r="A9" s="199">
        <v>8</v>
      </c>
      <c r="B9" t="s">
        <v>39</v>
      </c>
      <c r="C9" t="s">
        <v>366</v>
      </c>
      <c r="D9" t="s">
        <v>60</v>
      </c>
      <c r="E9" t="str">
        <f t="shared" si="0"/>
        <v xml:space="preserve">ΑΝΑΤΟΛΙΚΗΣ ΜΑΚΕΔΟΝΙΑΣ ΚΑΙ ΘΡΑΚΗΣ - ΙΑΣΜΟΥ, </v>
      </c>
      <c r="F9" s="225" t="s">
        <v>583</v>
      </c>
      <c r="G9" s="225">
        <v>14142</v>
      </c>
      <c r="H9" t="str">
        <f>IFERROR(INDEX(DimosNaiOxi,MATCH(ΤΚ!E9,DimosNai,0)),"")</f>
        <v/>
      </c>
      <c r="I9" t="str">
        <f>LOOKUP(B9,ΠΕΡΙΦΕΡΕΙΑ!$A$2:$A$14,ΠΕΡΙΦΕΡΕΙΑ!$B$2:$B$14)</f>
        <v>Ολική</v>
      </c>
      <c r="J9">
        <f t="shared" si="5"/>
        <v>8</v>
      </c>
      <c r="K9" s="199">
        <f t="shared" si="1"/>
        <v>8</v>
      </c>
      <c r="L9" t="str">
        <f t="shared" si="2"/>
        <v>ΑΝΑΤΟΛΙΚΗΣ ΜΑΚΕΔΟΝΙΑΣ ΚΑΙ ΘΡΑΚΗΣ</v>
      </c>
      <c r="M9" t="str">
        <f t="shared" si="3"/>
        <v>ΑΝΑΤΟΛΙΚΗΣ ΜΑΚΕΔΟΝΙΑΣ ΚΑΙ ΘΡΑΚΗΣ - ΙΑΣΜΟΥ</v>
      </c>
      <c r="N9" s="197">
        <f t="shared" si="4"/>
        <v>14142</v>
      </c>
      <c r="O9" s="197" t="str">
        <f t="shared" si="6"/>
        <v>Ιάσμου</v>
      </c>
    </row>
    <row r="10" spans="1:15" x14ac:dyDescent="0.25">
      <c r="A10" s="199">
        <v>9</v>
      </c>
      <c r="B10" t="s">
        <v>39</v>
      </c>
      <c r="C10" t="s">
        <v>52</v>
      </c>
      <c r="D10" t="s">
        <v>52</v>
      </c>
      <c r="E10" t="str">
        <f t="shared" si="0"/>
        <v xml:space="preserve">ΑΝΑΤΟΛΙΚΗΣ ΜΑΚΕΔΟΝΙΑΣ ΚΑΙ ΘΡΑΚΗΣ - ΚΑΒΑΛΑΣ, </v>
      </c>
      <c r="F10" s="225" t="s">
        <v>584</v>
      </c>
      <c r="G10" s="225">
        <v>14174</v>
      </c>
      <c r="H10" t="str">
        <f>IFERROR(INDEX(DimosNaiOxi,MATCH(ΤΚ!E10,DimosNai,0)),"")</f>
        <v/>
      </c>
      <c r="I10" t="str">
        <f>LOOKUP(B10,ΠΕΡΙΦΕΡΕΙΑ!$A$2:$A$14,ΠΕΡΙΦΕΡΕΙΑ!$B$2:$B$14)</f>
        <v>Ολική</v>
      </c>
      <c r="J10">
        <f t="shared" si="5"/>
        <v>9</v>
      </c>
      <c r="K10" s="199">
        <f t="shared" si="1"/>
        <v>9</v>
      </c>
      <c r="L10" t="str">
        <f t="shared" si="2"/>
        <v>ΑΝΑΤΟΛΙΚΗΣ ΜΑΚΕΔΟΝΙΑΣ ΚΑΙ ΘΡΑΚΗΣ</v>
      </c>
      <c r="M10" t="str">
        <f t="shared" si="3"/>
        <v>ΑΝΑΤΟΛΙΚΗΣ ΜΑΚΕΔΟΝΙΑΣ ΚΑΙ ΘΡΑΚΗΣ - ΚΑΒΑΛΑΣ</v>
      </c>
      <c r="N10" s="197">
        <f t="shared" si="4"/>
        <v>14174</v>
      </c>
      <c r="O10" s="197" t="str">
        <f t="shared" si="6"/>
        <v>Καβάλας</v>
      </c>
    </row>
    <row r="11" spans="1:15" x14ac:dyDescent="0.25">
      <c r="A11" s="199">
        <v>10</v>
      </c>
      <c r="B11" t="s">
        <v>39</v>
      </c>
      <c r="C11" t="s">
        <v>42</v>
      </c>
      <c r="D11" t="s">
        <v>43</v>
      </c>
      <c r="E11" t="str">
        <f t="shared" si="0"/>
        <v xml:space="preserve">ΑΝΑΤΟΛΙΚΗΣ ΜΑΚΕΔΟΝΙΑΣ ΚΑΙ ΘΡΑΚΗΣ - ΚΑΤΩ ΝΕΥΡΟΚΟΠΙΟΥ, </v>
      </c>
      <c r="F11" s="225" t="s">
        <v>585</v>
      </c>
      <c r="G11" s="225">
        <v>14162</v>
      </c>
      <c r="H11" t="str">
        <f>IFERROR(INDEX(DimosNaiOxi,MATCH(ΤΚ!E11,DimosNai,0)),"")</f>
        <v/>
      </c>
      <c r="I11" t="str">
        <f>LOOKUP(B11,ΠΕΡΙΦΕΡΕΙΑ!$A$2:$A$14,ΠΕΡΙΦΕΡΕΙΑ!$B$2:$B$14)</f>
        <v>Ολική</v>
      </c>
      <c r="J11">
        <f t="shared" si="5"/>
        <v>10</v>
      </c>
      <c r="K11" s="199">
        <f t="shared" si="1"/>
        <v>10</v>
      </c>
      <c r="L11" t="str">
        <f t="shared" si="2"/>
        <v>ΑΝΑΤΟΛΙΚΗΣ ΜΑΚΕΔΟΝΙΑΣ ΚΑΙ ΘΡΑΚΗΣ</v>
      </c>
      <c r="M11" t="str">
        <f t="shared" si="3"/>
        <v>ΑΝΑΤΟΛΙΚΗΣ ΜΑΚΕΔΟΝΙΑΣ ΚΑΙ ΘΡΑΚΗΣ - ΚΑΤΩ ΝΕΥΡΟΚΟΠΙΟΥ</v>
      </c>
      <c r="N11" s="197">
        <f t="shared" si="4"/>
        <v>14162</v>
      </c>
      <c r="O11" s="197" t="str">
        <f t="shared" si="6"/>
        <v>Κάτω Νευροκοπίου</v>
      </c>
    </row>
    <row r="12" spans="1:15" x14ac:dyDescent="0.25">
      <c r="A12" s="199">
        <v>11</v>
      </c>
      <c r="B12" t="s">
        <v>39</v>
      </c>
      <c r="C12" t="s">
        <v>366</v>
      </c>
      <c r="D12" t="s">
        <v>61</v>
      </c>
      <c r="E12" t="str">
        <f t="shared" si="0"/>
        <v xml:space="preserve">ΑΝΑΤΟΛΙΚΗΣ ΜΑΚΕΔΟΝΙΑΣ ΚΑΙ ΘΡΑΚΗΣ - ΚΟΜΟΤΗΝΗΣ, </v>
      </c>
      <c r="F12" s="225" t="s">
        <v>586</v>
      </c>
      <c r="G12" s="225">
        <v>14224</v>
      </c>
      <c r="H12" t="str">
        <f>IFERROR(INDEX(DimosNaiOxi,MATCH(ΤΚ!E12,DimosNai,0)),"")</f>
        <v/>
      </c>
      <c r="I12" t="str">
        <f>LOOKUP(B12,ΠΕΡΙΦΕΡΕΙΑ!$A$2:$A$14,ΠΕΡΙΦΕΡΕΙΑ!$B$2:$B$14)</f>
        <v>Ολική</v>
      </c>
      <c r="J12">
        <f t="shared" si="5"/>
        <v>11</v>
      </c>
      <c r="K12" s="199">
        <f t="shared" si="1"/>
        <v>11</v>
      </c>
      <c r="L12" t="str">
        <f t="shared" si="2"/>
        <v>ΑΝΑΤΟΛΙΚΗΣ ΜΑΚΕΔΟΝΙΑΣ ΚΑΙ ΘΡΑΚΗΣ</v>
      </c>
      <c r="M12" t="str">
        <f t="shared" si="3"/>
        <v>ΑΝΑΤΟΛΙΚΗΣ ΜΑΚΕΔΟΝΙΑΣ ΚΑΙ ΘΡΑΚΗΣ - ΚΟΜΟΤΗΝΗΣ</v>
      </c>
      <c r="N12" s="197">
        <f t="shared" si="4"/>
        <v>14224</v>
      </c>
      <c r="O12" s="197" t="str">
        <f t="shared" si="6"/>
        <v>Κομοτηνής</v>
      </c>
    </row>
    <row r="13" spans="1:15" x14ac:dyDescent="0.25">
      <c r="A13" s="199">
        <v>12</v>
      </c>
      <c r="B13" t="s">
        <v>39</v>
      </c>
      <c r="C13" t="s">
        <v>366</v>
      </c>
      <c r="D13" t="s">
        <v>62</v>
      </c>
      <c r="E13" t="str">
        <f t="shared" si="0"/>
        <v xml:space="preserve">ΑΝΑΤΟΛΙΚΗΣ ΜΑΚΕΔΟΝΙΑΣ ΚΑΙ ΘΡΑΚΗΣ - ΜΑΡΩΝΕΙΑΣ – ΣΑΠΩΝ, </v>
      </c>
      <c r="F13" s="225" t="s">
        <v>587</v>
      </c>
      <c r="G13" s="225">
        <v>14284</v>
      </c>
      <c r="H13" t="str">
        <f>IFERROR(INDEX(DimosNaiOxi,MATCH(ΤΚ!E13,DimosNai,0)),"")</f>
        <v/>
      </c>
      <c r="I13" t="str">
        <f>LOOKUP(B13,ΠΕΡΙΦΕΡΕΙΑ!$A$2:$A$14,ΠΕΡΙΦΕΡΕΙΑ!$B$2:$B$14)</f>
        <v>Ολική</v>
      </c>
      <c r="J13">
        <f t="shared" si="5"/>
        <v>12</v>
      </c>
      <c r="K13" s="199">
        <f t="shared" si="1"/>
        <v>12</v>
      </c>
      <c r="L13" t="str">
        <f t="shared" si="2"/>
        <v>ΑΝΑΤΟΛΙΚΗΣ ΜΑΚΕΔΟΝΙΑΣ ΚΑΙ ΘΡΑΚΗΣ</v>
      </c>
      <c r="M13" t="str">
        <f t="shared" si="3"/>
        <v>ΑΝΑΤΟΛΙΚΗΣ ΜΑΚΕΔΟΝΙΑΣ ΚΑΙ ΘΡΑΚΗΣ - ΜΑΡΩΝΕΙΑΣ – ΣΑΠΩΝ</v>
      </c>
      <c r="N13" s="197">
        <f t="shared" si="4"/>
        <v>14284</v>
      </c>
      <c r="O13" s="197" t="str">
        <f t="shared" si="6"/>
        <v>Μαρωνείας - Σαπών</v>
      </c>
    </row>
    <row r="14" spans="1:15" x14ac:dyDescent="0.25">
      <c r="A14" s="199">
        <v>13</v>
      </c>
      <c r="B14" t="s">
        <v>39</v>
      </c>
      <c r="C14" t="s">
        <v>57</v>
      </c>
      <c r="D14" t="s">
        <v>56</v>
      </c>
      <c r="E14" t="str">
        <f t="shared" si="0"/>
        <v xml:space="preserve">ΑΝΑΤΟΛΙΚΗΣ ΜΑΚΕΔΟΝΙΑΣ ΚΑΙ ΘΡΑΚΗΣ - ΜΥΚΗΣ, </v>
      </c>
      <c r="F14" s="225" t="s">
        <v>588</v>
      </c>
      <c r="G14" s="225">
        <v>14270</v>
      </c>
      <c r="H14" t="str">
        <f>IFERROR(INDEX(DimosNaiOxi,MATCH(ΤΚ!E14,DimosNai,0)),"")</f>
        <v/>
      </c>
      <c r="I14" t="str">
        <f>LOOKUP(B14,ΠΕΡΙΦΕΡΕΙΑ!$A$2:$A$14,ΠΕΡΙΦΕΡΕΙΑ!$B$2:$B$14)</f>
        <v>Ολική</v>
      </c>
      <c r="J14">
        <f t="shared" si="5"/>
        <v>13</v>
      </c>
      <c r="K14" s="199">
        <f t="shared" si="1"/>
        <v>13</v>
      </c>
      <c r="L14" t="str">
        <f t="shared" si="2"/>
        <v>ΑΝΑΤΟΛΙΚΗΣ ΜΑΚΕΔΟΝΙΑΣ ΚΑΙ ΘΡΑΚΗΣ</v>
      </c>
      <c r="M14" t="str">
        <f t="shared" si="3"/>
        <v>ΑΝΑΤΟΛΙΚΗΣ ΜΑΚΕΔΟΝΙΑΣ ΚΑΙ ΘΡΑΚΗΣ - ΜΥΚΗΣ</v>
      </c>
      <c r="N14" s="197">
        <f t="shared" si="4"/>
        <v>14270</v>
      </c>
      <c r="O14" s="197" t="str">
        <f t="shared" si="6"/>
        <v>Μύκης</v>
      </c>
    </row>
    <row r="15" spans="1:15" x14ac:dyDescent="0.25">
      <c r="A15" s="199">
        <v>14</v>
      </c>
      <c r="B15" t="s">
        <v>39</v>
      </c>
      <c r="C15" t="s">
        <v>52</v>
      </c>
      <c r="D15" t="s">
        <v>53</v>
      </c>
      <c r="E15" t="str">
        <f t="shared" si="0"/>
        <v xml:space="preserve">ΑΝΑΤΟΛΙΚΗΣ ΜΑΚΕΔΟΝΙΑΣ ΚΑΙ ΘΡΑΚΗΣ - ΝΕΣΤΟΥ, </v>
      </c>
      <c r="F15" s="225" t="s">
        <v>589</v>
      </c>
      <c r="G15" s="225">
        <v>14326</v>
      </c>
      <c r="H15" t="str">
        <f>IFERROR(INDEX(DimosNaiOxi,MATCH(ΤΚ!E15,DimosNai,0)),"")</f>
        <v/>
      </c>
      <c r="I15" t="str">
        <f>LOOKUP(B15,ΠΕΡΙΦΕΡΕΙΑ!$A$2:$A$14,ΠΕΡΙΦΕΡΕΙΑ!$B$2:$B$14)</f>
        <v>Ολική</v>
      </c>
      <c r="J15">
        <f t="shared" si="5"/>
        <v>14</v>
      </c>
      <c r="K15" s="199">
        <f t="shared" si="1"/>
        <v>14</v>
      </c>
      <c r="L15" t="str">
        <f t="shared" si="2"/>
        <v>ΑΝΑΤΟΛΙΚΗΣ ΜΑΚΕΔΟΝΙΑΣ ΚΑΙ ΘΡΑΚΗΣ</v>
      </c>
      <c r="M15" t="str">
        <f t="shared" si="3"/>
        <v>ΑΝΑΤΟΛΙΚΗΣ ΜΑΚΕΔΟΝΙΑΣ ΚΑΙ ΘΡΑΚΗΣ - ΝΕΣΤΟΥ</v>
      </c>
      <c r="N15" s="197">
        <f t="shared" si="4"/>
        <v>14326</v>
      </c>
      <c r="O15" s="197" t="str">
        <f t="shared" si="6"/>
        <v>Νέστου</v>
      </c>
    </row>
    <row r="16" spans="1:15" x14ac:dyDescent="0.25">
      <c r="A16" s="199">
        <v>15</v>
      </c>
      <c r="B16" t="s">
        <v>39</v>
      </c>
      <c r="C16" t="s">
        <v>57</v>
      </c>
      <c r="D16" t="s">
        <v>57</v>
      </c>
      <c r="E16" t="str">
        <f t="shared" si="0"/>
        <v xml:space="preserve">ΑΝΑΤΟΛΙΚΗΣ ΜΑΚΕΔΟΝΙΑΣ ΚΑΙ ΘΡΑΚΗΣ - ΞΑΝΘΗΣ, </v>
      </c>
      <c r="F16" s="225" t="s">
        <v>590</v>
      </c>
      <c r="G16" s="225">
        <v>14346</v>
      </c>
      <c r="H16" t="str">
        <f>IFERROR(INDEX(DimosNaiOxi,MATCH(ΤΚ!E16,DimosNai,0)),"")</f>
        <v/>
      </c>
      <c r="I16" t="str">
        <f>LOOKUP(B16,ΠΕΡΙΦΕΡΕΙΑ!$A$2:$A$14,ΠΕΡΙΦΕΡΕΙΑ!$B$2:$B$14)</f>
        <v>Ολική</v>
      </c>
      <c r="J16">
        <f t="shared" si="5"/>
        <v>15</v>
      </c>
      <c r="K16" s="199">
        <f t="shared" si="1"/>
        <v>15</v>
      </c>
      <c r="L16" t="str">
        <f t="shared" si="2"/>
        <v>ΑΝΑΤΟΛΙΚΗΣ ΜΑΚΕΔΟΝΙΑΣ ΚΑΙ ΘΡΑΚΗΣ</v>
      </c>
      <c r="M16" t="str">
        <f t="shared" si="3"/>
        <v>ΑΝΑΤΟΛΙΚΗΣ ΜΑΚΕΔΟΝΙΑΣ ΚΑΙ ΘΡΑΚΗΣ - ΞΑΝΘΗΣ</v>
      </c>
      <c r="N16" s="197">
        <f t="shared" si="4"/>
        <v>14346</v>
      </c>
      <c r="O16" s="197" t="str">
        <f t="shared" si="6"/>
        <v>Ξάνθης</v>
      </c>
    </row>
    <row r="17" spans="1:15" x14ac:dyDescent="0.25">
      <c r="A17" s="199">
        <v>16</v>
      </c>
      <c r="B17" t="s">
        <v>39</v>
      </c>
      <c r="C17" t="s">
        <v>365</v>
      </c>
      <c r="D17" t="s">
        <v>48</v>
      </c>
      <c r="E17" t="str">
        <f t="shared" si="0"/>
        <v xml:space="preserve">ΑΝΑΤΟΛΙΚΗΣ ΜΑΚΕΔΟΝΙΑΣ ΚΑΙ ΘΡΑΚΗΣ - ΟΡΕΣΤΙΑΔΑΣ, </v>
      </c>
      <c r="F17" s="225" t="s">
        <v>591</v>
      </c>
      <c r="G17" s="225">
        <v>14358</v>
      </c>
      <c r="H17" t="str">
        <f>IFERROR(INDEX(DimosNaiOxi,MATCH(ΤΚ!E17,DimosNai,0)),"")</f>
        <v/>
      </c>
      <c r="I17" t="str">
        <f>LOOKUP(B17,ΠΕΡΙΦΕΡΕΙΑ!$A$2:$A$14,ΠΕΡΙΦΕΡΕΙΑ!$B$2:$B$14)</f>
        <v>Ολική</v>
      </c>
      <c r="J17">
        <f t="shared" si="5"/>
        <v>16</v>
      </c>
      <c r="K17" s="199">
        <f t="shared" si="1"/>
        <v>16</v>
      </c>
      <c r="L17" t="str">
        <f t="shared" si="2"/>
        <v>ΑΝΑΤΟΛΙΚΗΣ ΜΑΚΕΔΟΝΙΑΣ ΚΑΙ ΘΡΑΚΗΣ</v>
      </c>
      <c r="M17" t="str">
        <f t="shared" si="3"/>
        <v>ΑΝΑΤΟΛΙΚΗΣ ΜΑΚΕΔΟΝΙΑΣ ΚΑΙ ΘΡΑΚΗΣ - ΟΡΕΣΤΙΑΔΑΣ</v>
      </c>
      <c r="N17" s="197">
        <f t="shared" si="4"/>
        <v>14358</v>
      </c>
      <c r="O17" s="197" t="str">
        <f t="shared" si="6"/>
        <v>Ορεστιάδας</v>
      </c>
    </row>
    <row r="18" spans="1:15" x14ac:dyDescent="0.25">
      <c r="A18" s="199">
        <v>17</v>
      </c>
      <c r="B18" t="s">
        <v>39</v>
      </c>
      <c r="C18" t="s">
        <v>52</v>
      </c>
      <c r="D18" t="s">
        <v>54</v>
      </c>
      <c r="E18" t="str">
        <f t="shared" si="0"/>
        <v xml:space="preserve">ΑΝΑΤΟΛΙΚΗΣ ΜΑΚΕΔΟΝΙΑΣ ΚΑΙ ΘΡΑΚΗΣ - ΠΑΓΓΑΙΟΥ, </v>
      </c>
      <c r="F18" s="225" t="s">
        <v>592</v>
      </c>
      <c r="G18" s="225">
        <v>14384</v>
      </c>
      <c r="H18" t="str">
        <f>IFERROR(INDEX(DimosNaiOxi,MATCH(ΤΚ!E18,DimosNai,0)),"")</f>
        <v/>
      </c>
      <c r="I18" t="str">
        <f>LOOKUP(B18,ΠΕΡΙΦΕΡΕΙΑ!$A$2:$A$14,ΠΕΡΙΦΕΡΕΙΑ!$B$2:$B$14)</f>
        <v>Ολική</v>
      </c>
      <c r="J18">
        <f t="shared" si="5"/>
        <v>17</v>
      </c>
      <c r="K18" s="199">
        <f t="shared" si="1"/>
        <v>17</v>
      </c>
      <c r="L18" t="str">
        <f t="shared" si="2"/>
        <v>ΑΝΑΤΟΛΙΚΗΣ ΜΑΚΕΔΟΝΙΑΣ ΚΑΙ ΘΡΑΚΗΣ</v>
      </c>
      <c r="M18" t="str">
        <f t="shared" si="3"/>
        <v>ΑΝΑΤΟΛΙΚΗΣ ΜΑΚΕΔΟΝΙΑΣ ΚΑΙ ΘΡΑΚΗΣ - ΠΑΓΓΑΙΟΥ</v>
      </c>
      <c r="N18" s="197">
        <f t="shared" si="4"/>
        <v>14384</v>
      </c>
      <c r="O18" s="197" t="str">
        <f t="shared" si="6"/>
        <v>Παγγαίου</v>
      </c>
    </row>
    <row r="19" spans="1:15" x14ac:dyDescent="0.25">
      <c r="A19" s="199">
        <v>18</v>
      </c>
      <c r="B19" t="s">
        <v>39</v>
      </c>
      <c r="C19" t="s">
        <v>42</v>
      </c>
      <c r="D19" t="s">
        <v>44</v>
      </c>
      <c r="E19" t="str">
        <f t="shared" si="0"/>
        <v xml:space="preserve">ΑΝΑΤΟΛΙΚΗΣ ΜΑΚΕΔΟΝΙΑΣ ΚΑΙ ΘΡΑΚΗΣ - ΠΑΡΑΝΕΣΤΙΟΥ, </v>
      </c>
      <c r="F19" s="225" t="s">
        <v>593</v>
      </c>
      <c r="G19" s="225">
        <v>14400</v>
      </c>
      <c r="H19" t="str">
        <f>IFERROR(INDEX(DimosNaiOxi,MATCH(ΤΚ!E19,DimosNai,0)),"")</f>
        <v/>
      </c>
      <c r="I19" t="str">
        <f>LOOKUP(B19,ΠΕΡΙΦΕΡΕΙΑ!$A$2:$A$14,ΠΕΡΙΦΕΡΕΙΑ!$B$2:$B$14)</f>
        <v>Ολική</v>
      </c>
      <c r="J19">
        <f t="shared" si="5"/>
        <v>18</v>
      </c>
      <c r="K19" s="199">
        <f t="shared" si="1"/>
        <v>18</v>
      </c>
      <c r="L19" t="str">
        <f t="shared" si="2"/>
        <v>ΑΝΑΤΟΛΙΚΗΣ ΜΑΚΕΔΟΝΙΑΣ ΚΑΙ ΘΡΑΚΗΣ</v>
      </c>
      <c r="M19" t="str">
        <f t="shared" si="3"/>
        <v>ΑΝΑΤΟΛΙΚΗΣ ΜΑΚΕΔΟΝΙΑΣ ΚΑΙ ΘΡΑΚΗΣ - ΠΑΡΑΝΕΣΤΙΟΥ</v>
      </c>
      <c r="N19" s="197">
        <f t="shared" si="4"/>
        <v>14400</v>
      </c>
      <c r="O19" s="197" t="str">
        <f t="shared" si="6"/>
        <v>Παρανεστίου</v>
      </c>
    </row>
    <row r="20" spans="1:15" x14ac:dyDescent="0.25">
      <c r="A20" s="199">
        <v>19</v>
      </c>
      <c r="B20" t="s">
        <v>39</v>
      </c>
      <c r="C20" t="s">
        <v>42</v>
      </c>
      <c r="D20" t="s">
        <v>45</v>
      </c>
      <c r="E20" t="str">
        <f t="shared" si="0"/>
        <v xml:space="preserve">ΑΝΑΤΟΛΙΚΗΣ ΜΑΚΕΔΟΝΙΑΣ ΚΑΙ ΘΡΑΚΗΣ - ΠΡΟΣΟΤΣΑΝΗΣ, </v>
      </c>
      <c r="F20" s="225" t="s">
        <v>594</v>
      </c>
      <c r="G20" s="225">
        <v>14424</v>
      </c>
      <c r="H20" t="str">
        <f>IFERROR(INDEX(DimosNaiOxi,MATCH(ΤΚ!E20,DimosNai,0)),"")</f>
        <v/>
      </c>
      <c r="I20" t="str">
        <f>LOOKUP(B20,ΠΕΡΙΦΕΡΕΙΑ!$A$2:$A$14,ΠΕΡΙΦΕΡΕΙΑ!$B$2:$B$14)</f>
        <v>Ολική</v>
      </c>
      <c r="J20">
        <f t="shared" si="5"/>
        <v>19</v>
      </c>
      <c r="K20" s="199">
        <f t="shared" si="1"/>
        <v>19</v>
      </c>
      <c r="L20" t="str">
        <f t="shared" si="2"/>
        <v>ΑΝΑΤΟΛΙΚΗΣ ΜΑΚΕΔΟΝΙΑΣ ΚΑΙ ΘΡΑΚΗΣ</v>
      </c>
      <c r="M20" t="str">
        <f t="shared" si="3"/>
        <v>ΑΝΑΤΟΛΙΚΗΣ ΜΑΚΕΔΟΝΙΑΣ ΚΑΙ ΘΡΑΚΗΣ - ΠΡΟΣΟΤΣΑΝΗΣ</v>
      </c>
      <c r="N20" s="197">
        <f t="shared" si="4"/>
        <v>14424</v>
      </c>
      <c r="O20" s="197" t="str">
        <f t="shared" si="6"/>
        <v>Προσοτσάνης</v>
      </c>
    </row>
    <row r="21" spans="1:15" x14ac:dyDescent="0.25">
      <c r="A21" s="199">
        <v>20</v>
      </c>
      <c r="B21" t="s">
        <v>39</v>
      </c>
      <c r="C21" t="s">
        <v>365</v>
      </c>
      <c r="D21" t="s">
        <v>49</v>
      </c>
      <c r="E21" t="str">
        <f t="shared" si="0"/>
        <v xml:space="preserve">ΑΝΑΤΟΛΙΚΗΣ ΜΑΚΕΔΟΝΙΑΣ ΚΑΙ ΘΡΑΚΗΣ - ΣΑΜΟΘΡΑΚΗΣ, </v>
      </c>
      <c r="F21" s="225" t="s">
        <v>595</v>
      </c>
      <c r="G21" s="225">
        <v>14448</v>
      </c>
      <c r="H21" t="str">
        <f>IFERROR(INDEX(DimosNaiOxi,MATCH(ΤΚ!E21,DimosNai,0)),"")</f>
        <v/>
      </c>
      <c r="I21" t="str">
        <f>LOOKUP(B21,ΠΕΡΙΦΕΡΕΙΑ!$A$2:$A$14,ΠΕΡΙΦΕΡΕΙΑ!$B$2:$B$14)</f>
        <v>Ολική</v>
      </c>
      <c r="J21">
        <f t="shared" si="5"/>
        <v>20</v>
      </c>
      <c r="K21" s="199">
        <f t="shared" si="1"/>
        <v>20</v>
      </c>
      <c r="L21" t="str">
        <f t="shared" si="2"/>
        <v>ΑΝΑΤΟΛΙΚΗΣ ΜΑΚΕΔΟΝΙΑΣ ΚΑΙ ΘΡΑΚΗΣ</v>
      </c>
      <c r="M21" t="str">
        <f t="shared" si="3"/>
        <v>ΑΝΑΤΟΛΙΚΗΣ ΜΑΚΕΔΟΝΙΑΣ ΚΑΙ ΘΡΑΚΗΣ - ΣΑΜΟΘΡΑΚΗΣ</v>
      </c>
      <c r="N21" s="197">
        <f t="shared" si="4"/>
        <v>14448</v>
      </c>
      <c r="O21" s="197" t="str">
        <f t="shared" si="6"/>
        <v>Σαμοθράκης</v>
      </c>
    </row>
    <row r="22" spans="1:15" x14ac:dyDescent="0.25">
      <c r="A22" s="199">
        <v>21</v>
      </c>
      <c r="B22" t="s">
        <v>39</v>
      </c>
      <c r="C22" t="s">
        <v>365</v>
      </c>
      <c r="D22" t="s">
        <v>50</v>
      </c>
      <c r="E22" t="str">
        <f t="shared" si="0"/>
        <v xml:space="preserve">ΑΝΑΤΟΛΙΚΗΣ ΜΑΚΕΔΟΝΙΑΣ ΚΑΙ ΘΡΑΚΗΣ - ΣΟΥΦΛΙΟΥ, </v>
      </c>
      <c r="F22" s="225" t="s">
        <v>596</v>
      </c>
      <c r="G22" s="225">
        <v>14478</v>
      </c>
      <c r="H22" t="str">
        <f>IFERROR(INDEX(DimosNaiOxi,MATCH(ΤΚ!E22,DimosNai,0)),"")</f>
        <v/>
      </c>
      <c r="I22" t="str">
        <f>LOOKUP(B22,ΠΕΡΙΦΕΡΕΙΑ!$A$2:$A$14,ΠΕΡΙΦΕΡΕΙΑ!$B$2:$B$14)</f>
        <v>Ολική</v>
      </c>
      <c r="J22">
        <f t="shared" si="5"/>
        <v>21</v>
      </c>
      <c r="K22" s="199">
        <f t="shared" si="1"/>
        <v>21</v>
      </c>
      <c r="L22" t="str">
        <f t="shared" si="2"/>
        <v>ΑΝΑΤΟΛΙΚΗΣ ΜΑΚΕΔΟΝΙΑΣ ΚΑΙ ΘΡΑΚΗΣ</v>
      </c>
      <c r="M22" t="str">
        <f t="shared" si="3"/>
        <v>ΑΝΑΤΟΛΙΚΗΣ ΜΑΚΕΔΟΝΙΑΣ ΚΑΙ ΘΡΑΚΗΣ - ΣΟΥΦΛΙΟΥ</v>
      </c>
      <c r="N22" s="197">
        <f t="shared" si="4"/>
        <v>14478</v>
      </c>
      <c r="O22" s="197" t="str">
        <f t="shared" si="6"/>
        <v>Σουφλίου</v>
      </c>
    </row>
    <row r="23" spans="1:15" x14ac:dyDescent="0.25">
      <c r="A23" s="199">
        <v>22</v>
      </c>
      <c r="B23" t="s">
        <v>39</v>
      </c>
      <c r="C23" t="s">
        <v>57</v>
      </c>
      <c r="D23" t="s">
        <v>58</v>
      </c>
      <c r="E23" t="str">
        <f t="shared" si="0"/>
        <v xml:space="preserve">ΑΝΑΤΟΛΙΚΗΣ ΜΑΚΕΔΟΝΙΑΣ ΚΑΙ ΘΡΑΚΗΣ - ΤΟΠΕΙΡΟΥ, </v>
      </c>
      <c r="F23" s="225" t="s">
        <v>597</v>
      </c>
      <c r="G23" s="225">
        <v>14500</v>
      </c>
      <c r="H23" t="str">
        <f>IFERROR(INDEX(DimosNaiOxi,MATCH(ΤΚ!E23,DimosNai,0)),"")</f>
        <v/>
      </c>
      <c r="I23" t="str">
        <f>LOOKUP(B23,ΠΕΡΙΦΕΡΕΙΑ!$A$2:$A$14,ΠΕΡΙΦΕΡΕΙΑ!$B$2:$B$14)</f>
        <v>Ολική</v>
      </c>
      <c r="J23">
        <f t="shared" si="5"/>
        <v>22</v>
      </c>
      <c r="K23" s="199">
        <f t="shared" si="1"/>
        <v>22</v>
      </c>
      <c r="L23" t="str">
        <f t="shared" si="2"/>
        <v>ΑΝΑΤΟΛΙΚΗΣ ΜΑΚΕΔΟΝΙΑΣ ΚΑΙ ΘΡΑΚΗΣ</v>
      </c>
      <c r="M23" t="str">
        <f t="shared" si="3"/>
        <v>ΑΝΑΤΟΛΙΚΗΣ ΜΑΚΕΔΟΝΙΑΣ ΚΑΙ ΘΡΑΚΗΣ - ΤΟΠΕΙΡΟΥ</v>
      </c>
      <c r="N23" s="197">
        <f t="shared" si="4"/>
        <v>14500</v>
      </c>
      <c r="O23" s="197" t="str">
        <f t="shared" si="6"/>
        <v>Τοπείρου</v>
      </c>
    </row>
    <row r="24" spans="1:15" x14ac:dyDescent="0.25">
      <c r="A24" s="199">
        <v>23</v>
      </c>
      <c r="B24" t="s">
        <v>40</v>
      </c>
      <c r="C24" t="s">
        <v>370</v>
      </c>
      <c r="D24" t="s">
        <v>93</v>
      </c>
      <c r="E24" t="str">
        <f t="shared" si="0"/>
        <v xml:space="preserve">ΑΤΤΙΚΗΣ - ΑΓΙΑΣ ΒΑΡΒΑΡΑΣ, </v>
      </c>
      <c r="F24" s="225" t="s">
        <v>598</v>
      </c>
      <c r="G24" s="225">
        <v>13922</v>
      </c>
      <c r="H24" t="str">
        <f>IFERROR(INDEX(DimosNaiOxi,MATCH(ΤΚ!E24,DimosNai,0)),"")</f>
        <v/>
      </c>
      <c r="I24" t="str">
        <f>LOOKUP(B24,ΠΕΡΙΦΕΡΕΙΑ!$A$2:$A$14,ΠΕΡΙΦΕΡΕΙΑ!$B$2:$B$14)</f>
        <v>Ολική</v>
      </c>
      <c r="J24">
        <f t="shared" si="5"/>
        <v>23</v>
      </c>
      <c r="K24" s="199">
        <f t="shared" si="1"/>
        <v>23</v>
      </c>
      <c r="L24" t="str">
        <f t="shared" si="2"/>
        <v>ΑΤΤΙΚΗΣ</v>
      </c>
      <c r="M24" t="str">
        <f t="shared" si="3"/>
        <v>ΑΤΤΙΚΗΣ - ΑΓΙΑΣ ΒΑΡΒΑΡΑΣ</v>
      </c>
      <c r="N24" s="197">
        <f t="shared" si="4"/>
        <v>13922</v>
      </c>
      <c r="O24" s="197" t="str">
        <f t="shared" si="6"/>
        <v>Αγίας Βαρβάρας</v>
      </c>
    </row>
    <row r="25" spans="1:15" x14ac:dyDescent="0.25">
      <c r="A25" s="199">
        <v>24</v>
      </c>
      <c r="B25" t="s">
        <v>40</v>
      </c>
      <c r="C25" t="s">
        <v>368</v>
      </c>
      <c r="D25" t="s">
        <v>76</v>
      </c>
      <c r="E25" t="str">
        <f t="shared" si="0"/>
        <v xml:space="preserve">ΑΤΤΙΚΗΣ - ΑΓΙΑΣ ΠΑΡΑΣΚΕΥΗΣ, </v>
      </c>
      <c r="F25" s="225" t="s">
        <v>599</v>
      </c>
      <c r="G25" s="225">
        <v>13924</v>
      </c>
      <c r="H25" t="str">
        <f>IFERROR(INDEX(DimosNaiOxi,MATCH(ΤΚ!E25,DimosNai,0)),"")</f>
        <v/>
      </c>
      <c r="I25" t="str">
        <f>LOOKUP(B25,ΠΕΡΙΦΕΡΕΙΑ!$A$2:$A$14,ΠΕΡΙΦΕΡΕΙΑ!$B$2:$B$14)</f>
        <v>Ολική</v>
      </c>
      <c r="J25">
        <f t="shared" si="5"/>
        <v>24</v>
      </c>
      <c r="K25" s="199">
        <f t="shared" si="1"/>
        <v>24</v>
      </c>
      <c r="L25" t="str">
        <f t="shared" si="2"/>
        <v>ΑΤΤΙΚΗΣ</v>
      </c>
      <c r="M25" t="str">
        <f t="shared" si="3"/>
        <v>ΑΤΤΙΚΗΣ - ΑΓΙΑΣ ΠΑΡΑΣΚΕΥΗΣ</v>
      </c>
      <c r="N25" s="197">
        <f t="shared" si="4"/>
        <v>13924</v>
      </c>
      <c r="O25" s="197" t="str">
        <f t="shared" si="6"/>
        <v>Αγίας Παρασκευής</v>
      </c>
    </row>
    <row r="26" spans="1:15" x14ac:dyDescent="0.25">
      <c r="A26" s="199">
        <v>25</v>
      </c>
      <c r="B26" t="s">
        <v>40</v>
      </c>
      <c r="C26" t="s">
        <v>373</v>
      </c>
      <c r="D26" t="s">
        <v>116</v>
      </c>
      <c r="E26" t="str">
        <f t="shared" si="0"/>
        <v xml:space="preserve">ΑΤΤΙΚΗΣ - ΑΓΙΟΥ ΔΗΜΗΤΡΙΟΥ, </v>
      </c>
      <c r="F26" s="225" t="s">
        <v>600</v>
      </c>
      <c r="G26" s="225">
        <v>13928</v>
      </c>
      <c r="H26" t="str">
        <f>IFERROR(INDEX(DimosNaiOxi,MATCH(ΤΚ!E26,DimosNai,0)),"")</f>
        <v/>
      </c>
      <c r="I26" t="str">
        <f>LOOKUP(B26,ΠΕΡΙΦΕΡΕΙΑ!$A$2:$A$14,ΠΕΡΙΦΕΡΕΙΑ!$B$2:$B$14)</f>
        <v>Ολική</v>
      </c>
      <c r="J26">
        <f t="shared" si="5"/>
        <v>25</v>
      </c>
      <c r="K26" s="199">
        <f t="shared" si="1"/>
        <v>25</v>
      </c>
      <c r="L26" t="str">
        <f t="shared" si="2"/>
        <v>ΑΤΤΙΚΗΣ</v>
      </c>
      <c r="M26" t="str">
        <f t="shared" si="3"/>
        <v>ΑΤΤΙΚΗΣ - ΑΓΙΟΥ ΔΗΜΗΤΡΙΟΥ</v>
      </c>
      <c r="N26" s="197">
        <f t="shared" si="4"/>
        <v>13928</v>
      </c>
      <c r="O26" s="197" t="str">
        <f t="shared" si="6"/>
        <v>Αγίου Δημητρίου</v>
      </c>
    </row>
    <row r="27" spans="1:15" x14ac:dyDescent="0.25">
      <c r="A27" s="199">
        <v>26</v>
      </c>
      <c r="B27" t="s">
        <v>40</v>
      </c>
      <c r="C27" t="s">
        <v>370</v>
      </c>
      <c r="D27" t="s">
        <v>94</v>
      </c>
      <c r="E27" t="str">
        <f t="shared" si="0"/>
        <v xml:space="preserve">ΑΤΤΙΚΗΣ - ΑΓΙΩΝ ΑΝΑΡΓΥΡΩΝ – ΚΑΜΑΤΕΡΟΥ, </v>
      </c>
      <c r="F27" s="225" t="s">
        <v>601</v>
      </c>
      <c r="G27" s="225">
        <v>13934</v>
      </c>
      <c r="H27" t="str">
        <f>IFERROR(INDEX(DimosNaiOxi,MATCH(ΤΚ!E27,DimosNai,0)),"")</f>
        <v/>
      </c>
      <c r="I27" t="str">
        <f>LOOKUP(B27,ΠΕΡΙΦΕΡΕΙΑ!$A$2:$A$14,ΠΕΡΙΦΕΡΕΙΑ!$B$2:$B$14)</f>
        <v>Ολική</v>
      </c>
      <c r="J27">
        <f t="shared" si="5"/>
        <v>26</v>
      </c>
      <c r="K27" s="199">
        <f t="shared" si="1"/>
        <v>26</v>
      </c>
      <c r="L27" t="str">
        <f t="shared" si="2"/>
        <v>ΑΤΤΙΚΗΣ</v>
      </c>
      <c r="M27" t="str">
        <f t="shared" si="3"/>
        <v>ΑΤΤΙΚΗΣ - ΑΓΙΩΝ ΑΝΑΡΓΥΡΩΝ – ΚΑΜΑΤΕΡΟΥ</v>
      </c>
      <c r="N27" s="197">
        <f t="shared" si="4"/>
        <v>13934</v>
      </c>
      <c r="O27" s="197" t="str">
        <f t="shared" si="6"/>
        <v>Αγίων Αναργύρων - Καματερού</v>
      </c>
    </row>
    <row r="28" spans="1:15" x14ac:dyDescent="0.25">
      <c r="A28" s="199">
        <v>27</v>
      </c>
      <c r="B28" t="s">
        <v>40</v>
      </c>
      <c r="C28" t="s">
        <v>372</v>
      </c>
      <c r="D28" t="s">
        <v>108</v>
      </c>
      <c r="E28" t="str">
        <f t="shared" si="0"/>
        <v xml:space="preserve">ΑΤΤΙΚΗΣ - ΑΓΚΙΣΤΡΙΟΥ, </v>
      </c>
      <c r="F28" s="225" t="s">
        <v>602</v>
      </c>
      <c r="G28" s="225">
        <v>13940</v>
      </c>
      <c r="H28" t="str">
        <f>IFERROR(INDEX(DimosNaiOxi,MATCH(ΤΚ!E28,DimosNai,0)),"")</f>
        <v/>
      </c>
      <c r="I28" t="str">
        <f>LOOKUP(B28,ΠΕΡΙΦΕΡΕΙΑ!$A$2:$A$14,ΠΕΡΙΦΕΡΕΙΑ!$B$2:$B$14)</f>
        <v>Ολική</v>
      </c>
      <c r="J28">
        <f t="shared" si="5"/>
        <v>27</v>
      </c>
      <c r="K28" s="199">
        <f t="shared" si="1"/>
        <v>27</v>
      </c>
      <c r="L28" t="str">
        <f t="shared" si="2"/>
        <v>ΑΤΤΙΚΗΣ</v>
      </c>
      <c r="M28" t="str">
        <f t="shared" si="3"/>
        <v>ΑΤΤΙΚΗΣ - ΑΓΚΙΣΤΡΙΟΥ</v>
      </c>
      <c r="N28" s="197">
        <f t="shared" si="4"/>
        <v>13940</v>
      </c>
      <c r="O28" s="197" t="str">
        <f t="shared" si="6"/>
        <v>Αγκιστρίου</v>
      </c>
    </row>
    <row r="29" spans="1:15" x14ac:dyDescent="0.25">
      <c r="A29" s="199">
        <v>28</v>
      </c>
      <c r="B29" t="s">
        <v>40</v>
      </c>
      <c r="C29" t="s">
        <v>371</v>
      </c>
      <c r="D29" t="s">
        <v>100</v>
      </c>
      <c r="E29" t="str">
        <f t="shared" si="0"/>
        <v xml:space="preserve">ΑΤΤΙΚΗΣ - ΑΘΗΝΑΙΩΝ, </v>
      </c>
      <c r="F29" s="225" t="s">
        <v>603</v>
      </c>
      <c r="G29" s="225">
        <v>13946</v>
      </c>
      <c r="H29" t="str">
        <f>IFERROR(INDEX(DimosNaiOxi,MATCH(ΤΚ!E29,DimosNai,0)),"")</f>
        <v/>
      </c>
      <c r="I29" t="str">
        <f>LOOKUP(B29,ΠΕΡΙΦΕΡΕΙΑ!$A$2:$A$14,ΠΕΡΙΦΕΡΕΙΑ!$B$2:$B$14)</f>
        <v>Ολική</v>
      </c>
      <c r="J29">
        <f t="shared" si="5"/>
        <v>28</v>
      </c>
      <c r="K29" s="199">
        <f t="shared" si="1"/>
        <v>28</v>
      </c>
      <c r="L29" t="str">
        <f t="shared" si="2"/>
        <v>ΑΤΤΙΚΗΣ</v>
      </c>
      <c r="M29" t="str">
        <f t="shared" si="3"/>
        <v>ΑΤΤΙΚΗΣ - ΑΘΗΝΑΙΩΝ</v>
      </c>
      <c r="N29" s="197">
        <f t="shared" si="4"/>
        <v>13946</v>
      </c>
      <c r="O29" s="197" t="str">
        <f t="shared" si="6"/>
        <v>Αθηναίων</v>
      </c>
    </row>
    <row r="30" spans="1:15" x14ac:dyDescent="0.25">
      <c r="A30" s="199">
        <v>29</v>
      </c>
      <c r="B30" t="s">
        <v>40</v>
      </c>
      <c r="C30" t="s">
        <v>370</v>
      </c>
      <c r="D30" t="s">
        <v>95</v>
      </c>
      <c r="E30" t="str">
        <f t="shared" si="0"/>
        <v xml:space="preserve">ΑΤΤΙΚΗΣ - ΑΙΓΑΛΕΩ, </v>
      </c>
      <c r="F30" s="225" t="s">
        <v>604</v>
      </c>
      <c r="G30" s="225">
        <v>13948</v>
      </c>
      <c r="H30" t="str">
        <f>IFERROR(INDEX(DimosNaiOxi,MATCH(ΤΚ!E30,DimosNai,0)),"")</f>
        <v/>
      </c>
      <c r="I30" t="str">
        <f>LOOKUP(B30,ΠΕΡΙΦΕΡΕΙΑ!$A$2:$A$14,ΠΕΡΙΦΕΡΕΙΑ!$B$2:$B$14)</f>
        <v>Ολική</v>
      </c>
      <c r="J30">
        <f t="shared" si="5"/>
        <v>29</v>
      </c>
      <c r="K30" s="199">
        <f t="shared" si="1"/>
        <v>29</v>
      </c>
      <c r="L30" t="str">
        <f t="shared" si="2"/>
        <v>ΑΤΤΙΚΗΣ</v>
      </c>
      <c r="M30" t="str">
        <f t="shared" si="3"/>
        <v>ΑΤΤΙΚΗΣ - ΑΙΓΑΛΕΩ</v>
      </c>
      <c r="N30" s="197">
        <f t="shared" si="4"/>
        <v>13948</v>
      </c>
      <c r="O30" s="197" t="str">
        <f t="shared" si="6"/>
        <v>Αιγάλεω</v>
      </c>
    </row>
    <row r="31" spans="1:15" x14ac:dyDescent="0.25">
      <c r="A31" s="199">
        <v>30</v>
      </c>
      <c r="B31" t="s">
        <v>40</v>
      </c>
      <c r="C31" t="s">
        <v>372</v>
      </c>
      <c r="D31" t="s">
        <v>109</v>
      </c>
      <c r="E31" t="str">
        <f t="shared" si="0"/>
        <v xml:space="preserve">ΑΤΤΙΚΗΣ - ΑΙΓΙΝΑΣ, </v>
      </c>
      <c r="F31" s="225" t="s">
        <v>605</v>
      </c>
      <c r="G31" s="225">
        <v>13918</v>
      </c>
      <c r="H31" t="str">
        <f>IFERROR(INDEX(DimosNaiOxi,MATCH(ΤΚ!E31,DimosNai,0)),"")</f>
        <v/>
      </c>
      <c r="I31" t="str">
        <f>LOOKUP(B31,ΠΕΡΙΦΕΡΕΙΑ!$A$2:$A$14,ΠΕΡΙΦΕΡΕΙΑ!$B$2:$B$14)</f>
        <v>Ολική</v>
      </c>
      <c r="J31">
        <f t="shared" si="5"/>
        <v>30</v>
      </c>
      <c r="K31" s="199">
        <f t="shared" si="1"/>
        <v>30</v>
      </c>
      <c r="L31" t="str">
        <f t="shared" si="2"/>
        <v>ΑΤΤΙΚΗΣ</v>
      </c>
      <c r="M31" t="str">
        <f t="shared" si="3"/>
        <v>ΑΤΤΙΚΗΣ - ΑΙΓΙΝΑΣ</v>
      </c>
      <c r="N31" s="197">
        <f t="shared" si="4"/>
        <v>13918</v>
      </c>
      <c r="O31" s="197" t="str">
        <f t="shared" si="6"/>
        <v>Αίγινας</v>
      </c>
    </row>
    <row r="32" spans="1:15" x14ac:dyDescent="0.25">
      <c r="A32" s="199">
        <v>31</v>
      </c>
      <c r="B32" t="s">
        <v>40</v>
      </c>
      <c r="C32" t="s">
        <v>373</v>
      </c>
      <c r="D32" t="s">
        <v>117</v>
      </c>
      <c r="E32" t="str">
        <f t="shared" si="0"/>
        <v xml:space="preserve">ΑΤΤΙΚΗΣ - ΑΛΙΜΟΥ, </v>
      </c>
      <c r="F32" s="225" t="s">
        <v>606</v>
      </c>
      <c r="G32" s="225">
        <v>13952</v>
      </c>
      <c r="H32" t="str">
        <f>IFERROR(INDEX(DimosNaiOxi,MATCH(ΤΚ!E32,DimosNai,0)),"")</f>
        <v/>
      </c>
      <c r="I32" t="str">
        <f>LOOKUP(B32,ΠΕΡΙΦΕΡΕΙΑ!$A$2:$A$14,ΠΕΡΙΦΕΡΕΙΑ!$B$2:$B$14)</f>
        <v>Ολική</v>
      </c>
      <c r="J32">
        <f t="shared" si="5"/>
        <v>31</v>
      </c>
      <c r="K32" s="199">
        <f t="shared" si="1"/>
        <v>31</v>
      </c>
      <c r="L32" t="str">
        <f t="shared" si="2"/>
        <v>ΑΤΤΙΚΗΣ</v>
      </c>
      <c r="M32" t="str">
        <f t="shared" si="3"/>
        <v>ΑΤΤΙΚΗΣ - ΑΛΙΜΟΥ</v>
      </c>
      <c r="N32" s="197">
        <f t="shared" si="4"/>
        <v>13952</v>
      </c>
      <c r="O32" s="197" t="str">
        <f t="shared" si="6"/>
        <v>Αλίμου</v>
      </c>
    </row>
    <row r="33" spans="1:15" x14ac:dyDescent="0.25">
      <c r="A33" s="199">
        <v>32</v>
      </c>
      <c r="B33" t="s">
        <v>40</v>
      </c>
      <c r="C33" t="s">
        <v>368</v>
      </c>
      <c r="D33" t="s">
        <v>77</v>
      </c>
      <c r="E33" t="str">
        <f t="shared" si="0"/>
        <v xml:space="preserve">ΑΤΤΙΚΗΣ - ΑΜΑΡΟΥΣΙΟΥ, </v>
      </c>
      <c r="F33" s="225" t="s">
        <v>607</v>
      </c>
      <c r="G33" s="225">
        <v>13968</v>
      </c>
      <c r="H33" t="str">
        <f>IFERROR(INDEX(DimosNaiOxi,MATCH(ΤΚ!E33,DimosNai,0)),"")</f>
        <v/>
      </c>
      <c r="I33" t="str">
        <f>LOOKUP(B33,ΠΕΡΙΦΕΡΕΙΑ!$A$2:$A$14,ΠΕΡΙΦΕΡΕΙΑ!$B$2:$B$14)</f>
        <v>Ολική</v>
      </c>
      <c r="J33">
        <f t="shared" si="5"/>
        <v>32</v>
      </c>
      <c r="K33" s="199">
        <f t="shared" si="1"/>
        <v>32</v>
      </c>
      <c r="L33" t="str">
        <f t="shared" si="2"/>
        <v>ΑΤΤΙΚΗΣ</v>
      </c>
      <c r="M33" t="str">
        <f t="shared" si="3"/>
        <v>ΑΤΤΙΚΗΣ - ΑΜΑΡΟΥΣΙΟΥ</v>
      </c>
      <c r="N33" s="197">
        <f t="shared" si="4"/>
        <v>13968</v>
      </c>
      <c r="O33" s="197" t="str">
        <f t="shared" si="6"/>
        <v>Αμαρουσίου</v>
      </c>
    </row>
    <row r="34" spans="1:15" x14ac:dyDescent="0.25">
      <c r="A34" s="199">
        <v>33</v>
      </c>
      <c r="B34" t="s">
        <v>40</v>
      </c>
      <c r="C34" t="s">
        <v>369</v>
      </c>
      <c r="D34" t="s">
        <v>88</v>
      </c>
      <c r="E34" t="str">
        <f t="shared" si="0"/>
        <v xml:space="preserve">ΑΤΤΙΚΗΣ - ΑΣΠΡΟΠΥΡΓΟΥ, </v>
      </c>
      <c r="F34" s="225" t="s">
        <v>608</v>
      </c>
      <c r="G34" s="225">
        <v>14008</v>
      </c>
      <c r="H34" t="str">
        <f>IFERROR(INDEX(DimosNaiOxi,MATCH(ΤΚ!E34,DimosNai,0)),"")</f>
        <v/>
      </c>
      <c r="I34" t="str">
        <f>LOOKUP(B34,ΠΕΡΙΦΕΡΕΙΑ!$A$2:$A$14,ΠΕΡΙΦΕΡΕΙΑ!$B$2:$B$14)</f>
        <v>Ολική</v>
      </c>
      <c r="J34">
        <f t="shared" si="5"/>
        <v>33</v>
      </c>
      <c r="K34" s="199">
        <f t="shared" si="1"/>
        <v>33</v>
      </c>
      <c r="L34" t="str">
        <f t="shared" si="2"/>
        <v>ΑΤΤΙΚΗΣ</v>
      </c>
      <c r="M34" t="str">
        <f t="shared" si="3"/>
        <v>ΑΤΤΙΚΗΣ - ΑΣΠΡΟΠΥΡΓΟΥ</v>
      </c>
      <c r="N34" s="197">
        <f t="shared" si="4"/>
        <v>14008</v>
      </c>
      <c r="O34" s="197" t="str">
        <f t="shared" si="6"/>
        <v>Ασπροπύργου</v>
      </c>
    </row>
    <row r="35" spans="1:15" x14ac:dyDescent="0.25">
      <c r="A35" s="199">
        <v>34</v>
      </c>
      <c r="B35" t="s">
        <v>40</v>
      </c>
      <c r="C35" t="s">
        <v>367</v>
      </c>
      <c r="D35" t="s">
        <v>63</v>
      </c>
      <c r="E35" t="str">
        <f t="shared" si="0"/>
        <v xml:space="preserve">ΑΤΤΙΚΗΣ - ΑΧΑΡΝΩΝ, </v>
      </c>
      <c r="F35" s="225" t="s">
        <v>609</v>
      </c>
      <c r="G35" s="225">
        <v>14012</v>
      </c>
      <c r="H35" t="str">
        <f>IFERROR(INDEX(DimosNaiOxi,MATCH(ΤΚ!E35,DimosNai,0)),"")</f>
        <v/>
      </c>
      <c r="I35" t="str">
        <f>LOOKUP(B35,ΠΕΡΙΦΕΡΕΙΑ!$A$2:$A$14,ΠΕΡΙΦΕΡΕΙΑ!$B$2:$B$14)</f>
        <v>Ολική</v>
      </c>
      <c r="J35">
        <f t="shared" si="5"/>
        <v>34</v>
      </c>
      <c r="K35" s="199">
        <f t="shared" si="1"/>
        <v>34</v>
      </c>
      <c r="L35" t="str">
        <f t="shared" si="2"/>
        <v>ΑΤΤΙΚΗΣ</v>
      </c>
      <c r="M35" t="str">
        <f t="shared" si="3"/>
        <v>ΑΤΤΙΚΗΣ - ΑΧΑΡΝΩΝ</v>
      </c>
      <c r="N35" s="197">
        <f t="shared" si="4"/>
        <v>14012</v>
      </c>
      <c r="O35" s="197" t="str">
        <f t="shared" si="6"/>
        <v>Αχαρνών</v>
      </c>
    </row>
    <row r="36" spans="1:15" x14ac:dyDescent="0.25">
      <c r="A36" s="199">
        <v>35</v>
      </c>
      <c r="B36" t="s">
        <v>40</v>
      </c>
      <c r="C36" t="s">
        <v>367</v>
      </c>
      <c r="D36" t="s">
        <v>64</v>
      </c>
      <c r="E36" t="str">
        <f t="shared" si="0"/>
        <v xml:space="preserve">ΑΤΤΙΚΗΣ - ΒΑΡΗΣ – ΒΟΥΛΑΣ – ΒΟΥΛΙΑΓΜΕΝΗΣ, </v>
      </c>
      <c r="F36" s="225" t="s">
        <v>610</v>
      </c>
      <c r="G36" s="225">
        <v>14014</v>
      </c>
      <c r="H36" t="str">
        <f>IFERROR(INDEX(DimosNaiOxi,MATCH(ΤΚ!E36,DimosNai,0)),"")</f>
        <v/>
      </c>
      <c r="I36" t="str">
        <f>LOOKUP(B36,ΠΕΡΙΦΕΡΕΙΑ!$A$2:$A$14,ΠΕΡΙΦΕΡΕΙΑ!$B$2:$B$14)</f>
        <v>Ολική</v>
      </c>
      <c r="J36">
        <f t="shared" si="5"/>
        <v>35</v>
      </c>
      <c r="K36" s="199">
        <f t="shared" si="1"/>
        <v>35</v>
      </c>
      <c r="L36" t="str">
        <f t="shared" si="2"/>
        <v>ΑΤΤΙΚΗΣ</v>
      </c>
      <c r="M36" t="str">
        <f t="shared" si="3"/>
        <v>ΑΤΤΙΚΗΣ - ΒΑΡΗΣ – ΒΟΥΛΑΣ – ΒΟΥΛΙΑΓΜΕΝΗΣ</v>
      </c>
      <c r="N36" s="197">
        <f t="shared" si="4"/>
        <v>14014</v>
      </c>
      <c r="O36" s="197" t="str">
        <f t="shared" si="6"/>
        <v>Βάρης - Βούλας - Βουλιαγμένης</v>
      </c>
    </row>
    <row r="37" spans="1:15" x14ac:dyDescent="0.25">
      <c r="A37" s="199">
        <v>36</v>
      </c>
      <c r="B37" t="s">
        <v>40</v>
      </c>
      <c r="C37" t="s">
        <v>368</v>
      </c>
      <c r="D37" t="s">
        <v>78</v>
      </c>
      <c r="E37" t="str">
        <f t="shared" si="0"/>
        <v xml:space="preserve">ΑΤΤΙΚΗΣ - ΒΡΙΛΗΣΣΙΩΝ, </v>
      </c>
      <c r="F37" s="225" t="s">
        <v>611</v>
      </c>
      <c r="G37" s="225">
        <v>14036</v>
      </c>
      <c r="H37" t="str">
        <f>IFERROR(INDEX(DimosNaiOxi,MATCH(ΤΚ!E37,DimosNai,0)),"")</f>
        <v/>
      </c>
      <c r="I37" t="str">
        <f>LOOKUP(B37,ΠΕΡΙΦΕΡΕΙΑ!$A$2:$A$14,ΠΕΡΙΦΕΡΕΙΑ!$B$2:$B$14)</f>
        <v>Ολική</v>
      </c>
      <c r="J37">
        <f t="shared" si="5"/>
        <v>36</v>
      </c>
      <c r="K37" s="199">
        <f t="shared" si="1"/>
        <v>36</v>
      </c>
      <c r="L37" t="str">
        <f t="shared" si="2"/>
        <v>ΑΤΤΙΚΗΣ</v>
      </c>
      <c r="M37" t="str">
        <f t="shared" si="3"/>
        <v>ΑΤΤΙΚΗΣ - ΒΡΙΛΗΣΣΙΩΝ</v>
      </c>
      <c r="N37" s="197">
        <f t="shared" si="4"/>
        <v>14036</v>
      </c>
      <c r="O37" s="197" t="str">
        <f t="shared" si="6"/>
        <v>Βριλησσίων</v>
      </c>
    </row>
    <row r="38" spans="1:15" x14ac:dyDescent="0.25">
      <c r="A38" s="199">
        <v>37</v>
      </c>
      <c r="B38" t="s">
        <v>40</v>
      </c>
      <c r="C38" t="s">
        <v>371</v>
      </c>
      <c r="D38" t="s">
        <v>101</v>
      </c>
      <c r="E38" t="str">
        <f t="shared" si="0"/>
        <v xml:space="preserve">ΑΤΤΙΚΗΣ - ΒΥΡΩΝΟΣ, </v>
      </c>
      <c r="F38" s="225" t="s">
        <v>612</v>
      </c>
      <c r="G38" s="225">
        <v>14026</v>
      </c>
      <c r="H38" t="str">
        <f>IFERROR(INDEX(DimosNaiOxi,MATCH(ΤΚ!E38,DimosNai,0)),"")</f>
        <v/>
      </c>
      <c r="I38" t="str">
        <f>LOOKUP(B38,ΠΕΡΙΦΕΡΕΙΑ!$A$2:$A$14,ΠΕΡΙΦΕΡΕΙΑ!$B$2:$B$14)</f>
        <v>Ολική</v>
      </c>
      <c r="J38">
        <f t="shared" si="5"/>
        <v>37</v>
      </c>
      <c r="K38" s="199">
        <f t="shared" si="1"/>
        <v>37</v>
      </c>
      <c r="L38" t="str">
        <f t="shared" si="2"/>
        <v>ΑΤΤΙΚΗΣ</v>
      </c>
      <c r="M38" t="str">
        <f t="shared" si="3"/>
        <v>ΑΤΤΙΚΗΣ - ΒΥΡΩΝΟΣ</v>
      </c>
      <c r="N38" s="197">
        <f t="shared" si="4"/>
        <v>14026</v>
      </c>
      <c r="O38" s="197" t="str">
        <f t="shared" si="6"/>
        <v>Βύρωνος</v>
      </c>
    </row>
    <row r="39" spans="1:15" x14ac:dyDescent="0.25">
      <c r="A39" s="199">
        <v>38</v>
      </c>
      <c r="B39" t="s">
        <v>40</v>
      </c>
      <c r="C39" t="s">
        <v>371</v>
      </c>
      <c r="D39" t="s">
        <v>102</v>
      </c>
      <c r="E39" t="str">
        <f t="shared" si="0"/>
        <v xml:space="preserve">ΑΤΤΙΚΗΣ - ΓΑΛΑΤΣΙΟΥ, </v>
      </c>
      <c r="F39" s="225" t="s">
        <v>613</v>
      </c>
      <c r="G39" s="225">
        <v>14042</v>
      </c>
      <c r="H39" t="str">
        <f>IFERROR(INDEX(DimosNaiOxi,MATCH(ΤΚ!E39,DimosNai,0)),"")</f>
        <v/>
      </c>
      <c r="I39" t="str">
        <f>LOOKUP(B39,ΠΕΡΙΦΕΡΕΙΑ!$A$2:$A$14,ΠΕΡΙΦΕΡΕΙΑ!$B$2:$B$14)</f>
        <v>Ολική</v>
      </c>
      <c r="J39">
        <f t="shared" si="5"/>
        <v>38</v>
      </c>
      <c r="K39" s="199">
        <f t="shared" si="1"/>
        <v>38</v>
      </c>
      <c r="L39" t="str">
        <f t="shared" si="2"/>
        <v>ΑΤΤΙΚΗΣ</v>
      </c>
      <c r="M39" t="str">
        <f t="shared" si="3"/>
        <v>ΑΤΤΙΚΗΣ - ΓΑΛΑΤΣΙΟΥ</v>
      </c>
      <c r="N39" s="197">
        <f t="shared" si="4"/>
        <v>14042</v>
      </c>
      <c r="O39" s="197" t="str">
        <f t="shared" si="6"/>
        <v>Γαλατσίου</v>
      </c>
    </row>
    <row r="40" spans="1:15" x14ac:dyDescent="0.25">
      <c r="A40" s="199">
        <v>39</v>
      </c>
      <c r="B40" t="s">
        <v>40</v>
      </c>
      <c r="C40" t="s">
        <v>373</v>
      </c>
      <c r="D40" t="s">
        <v>118</v>
      </c>
      <c r="E40" t="str">
        <f t="shared" si="0"/>
        <v xml:space="preserve">ΑΤΤΙΚΗΣ - ΓΛΥΦΑΔΑΣ, </v>
      </c>
      <c r="F40" s="225" t="s">
        <v>614</v>
      </c>
      <c r="G40" s="225">
        <v>14046</v>
      </c>
      <c r="H40" t="str">
        <f>IFERROR(INDEX(DimosNaiOxi,MATCH(ΤΚ!E40,DimosNai,0)),"")</f>
        <v/>
      </c>
      <c r="I40" t="str">
        <f>LOOKUP(B40,ΠΕΡΙΦΕΡΕΙΑ!$A$2:$A$14,ΠΕΡΙΦΕΡΕΙΑ!$B$2:$B$14)</f>
        <v>Ολική</v>
      </c>
      <c r="J40">
        <f t="shared" si="5"/>
        <v>39</v>
      </c>
      <c r="K40" s="199">
        <f t="shared" si="1"/>
        <v>39</v>
      </c>
      <c r="L40" t="str">
        <f t="shared" si="2"/>
        <v>ΑΤΤΙΚΗΣ</v>
      </c>
      <c r="M40" t="str">
        <f t="shared" si="3"/>
        <v>ΑΤΤΙΚΗΣ - ΓΛΥΦΑΔΑΣ</v>
      </c>
      <c r="N40" s="197">
        <f t="shared" si="4"/>
        <v>14046</v>
      </c>
      <c r="O40" s="197" t="str">
        <f t="shared" si="6"/>
        <v>Γλυφάδας</v>
      </c>
    </row>
    <row r="41" spans="1:15" x14ac:dyDescent="0.25">
      <c r="A41" s="199">
        <v>40</v>
      </c>
      <c r="B41" t="s">
        <v>40</v>
      </c>
      <c r="C41" t="s">
        <v>371</v>
      </c>
      <c r="D41" t="s">
        <v>103</v>
      </c>
      <c r="E41" t="str">
        <f t="shared" si="0"/>
        <v xml:space="preserve">ΑΤΤΙΚΗΣ - ΔΑΦΝΗΣ – ΥΜΗΤΤΟΥ, </v>
      </c>
      <c r="F41" s="225" t="s">
        <v>615</v>
      </c>
      <c r="G41" s="225">
        <v>14052</v>
      </c>
      <c r="H41" t="str">
        <f>IFERROR(INDEX(DimosNaiOxi,MATCH(ΤΚ!E41,DimosNai,0)),"")</f>
        <v/>
      </c>
      <c r="I41" t="str">
        <f>LOOKUP(B41,ΠΕΡΙΦΕΡΕΙΑ!$A$2:$A$14,ΠΕΡΙΦΕΡΕΙΑ!$B$2:$B$14)</f>
        <v>Ολική</v>
      </c>
      <c r="J41">
        <f t="shared" si="5"/>
        <v>40</v>
      </c>
      <c r="K41" s="199">
        <f t="shared" si="1"/>
        <v>40</v>
      </c>
      <c r="L41" t="str">
        <f t="shared" si="2"/>
        <v>ΑΤΤΙΚΗΣ</v>
      </c>
      <c r="M41" t="str">
        <f t="shared" si="3"/>
        <v>ΑΤΤΙΚΗΣ - ΔΑΦΝΗΣ – ΥΜΗΤΤΟΥ</v>
      </c>
      <c r="N41" s="197">
        <f t="shared" si="4"/>
        <v>14052</v>
      </c>
      <c r="O41" s="197" t="str">
        <f t="shared" si="6"/>
        <v>Δάφνης - Υμηττού</v>
      </c>
    </row>
    <row r="42" spans="1:15" x14ac:dyDescent="0.25">
      <c r="A42" s="199">
        <v>41</v>
      </c>
      <c r="B42" t="s">
        <v>40</v>
      </c>
      <c r="C42" t="s">
        <v>367</v>
      </c>
      <c r="D42" t="s">
        <v>65</v>
      </c>
      <c r="E42" t="str">
        <f t="shared" si="0"/>
        <v xml:space="preserve">ΑΤΤΙΚΗΣ - ΔΙΟΝΥΣΟΥ, </v>
      </c>
      <c r="F42" s="225" t="s">
        <v>616</v>
      </c>
      <c r="G42" s="225">
        <v>14064</v>
      </c>
      <c r="H42" t="str">
        <f>IFERROR(INDEX(DimosNaiOxi,MATCH(ΤΚ!E42,DimosNai,0)),"")</f>
        <v/>
      </c>
      <c r="I42" t="str">
        <f>LOOKUP(B42,ΠΕΡΙΦΕΡΕΙΑ!$A$2:$A$14,ΠΕΡΙΦΕΡΕΙΑ!$B$2:$B$14)</f>
        <v>Ολική</v>
      </c>
      <c r="J42">
        <f t="shared" si="5"/>
        <v>41</v>
      </c>
      <c r="K42" s="199">
        <f t="shared" si="1"/>
        <v>41</v>
      </c>
      <c r="L42" t="str">
        <f t="shared" si="2"/>
        <v>ΑΤΤΙΚΗΣ</v>
      </c>
      <c r="M42" t="str">
        <f t="shared" si="3"/>
        <v>ΑΤΤΙΚΗΣ - ΔΙΟΝΥΣΟΥ</v>
      </c>
      <c r="N42" s="197">
        <f t="shared" si="4"/>
        <v>14064</v>
      </c>
      <c r="O42" s="197" t="str">
        <f t="shared" si="6"/>
        <v>Διονύσου</v>
      </c>
    </row>
    <row r="43" spans="1:15" x14ac:dyDescent="0.25">
      <c r="A43" s="199">
        <v>42</v>
      </c>
      <c r="B43" t="s">
        <v>40</v>
      </c>
      <c r="C43" t="s">
        <v>369</v>
      </c>
      <c r="D43" t="s">
        <v>89</v>
      </c>
      <c r="E43" t="str">
        <f t="shared" si="0"/>
        <v xml:space="preserve">ΑΤΤΙΚΗΣ - ΕΛΕΥΣΙΝΑΣ, </v>
      </c>
      <c r="F43" s="225" t="s">
        <v>617</v>
      </c>
      <c r="G43" s="225">
        <v>14088</v>
      </c>
      <c r="H43" t="str">
        <f>IFERROR(INDEX(DimosNaiOxi,MATCH(ΤΚ!E43,DimosNai,0)),"")</f>
        <v/>
      </c>
      <c r="I43" t="str">
        <f>LOOKUP(B43,ΠΕΡΙΦΕΡΕΙΑ!$A$2:$A$14,ΠΕΡΙΦΕΡΕΙΑ!$B$2:$B$14)</f>
        <v>Ολική</v>
      </c>
      <c r="J43">
        <f t="shared" si="5"/>
        <v>42</v>
      </c>
      <c r="K43" s="199">
        <f t="shared" si="1"/>
        <v>42</v>
      </c>
      <c r="L43" t="str">
        <f t="shared" si="2"/>
        <v>ΑΤΤΙΚΗΣ</v>
      </c>
      <c r="M43" t="str">
        <f t="shared" si="3"/>
        <v>ΑΤΤΙΚΗΣ - ΕΛΕΥΣΙΝΑΣ</v>
      </c>
      <c r="N43" s="197">
        <f t="shared" si="4"/>
        <v>14088</v>
      </c>
      <c r="O43" s="197" t="str">
        <f t="shared" si="6"/>
        <v>Ελευσίνας</v>
      </c>
    </row>
    <row r="44" spans="1:15" x14ac:dyDescent="0.25">
      <c r="A44" s="199">
        <v>43</v>
      </c>
      <c r="B44" t="s">
        <v>40</v>
      </c>
      <c r="C44" t="s">
        <v>373</v>
      </c>
      <c r="D44" t="s">
        <v>119</v>
      </c>
      <c r="E44" t="str">
        <f t="shared" si="0"/>
        <v xml:space="preserve">ΑΤΤΙΚΗΣ - ΕΛΛΗΝΙΚΟΥ – ΑΡΓΥΡΟΥΠΟΛΗΣ, </v>
      </c>
      <c r="F44" s="225" t="s">
        <v>618</v>
      </c>
      <c r="G44" s="225">
        <v>14090</v>
      </c>
      <c r="H44" t="str">
        <f>IFERROR(INDEX(DimosNaiOxi,MATCH(ΤΚ!E44,DimosNai,0)),"")</f>
        <v/>
      </c>
      <c r="I44" t="str">
        <f>LOOKUP(B44,ΠΕΡΙΦΕΡΕΙΑ!$A$2:$A$14,ΠΕΡΙΦΕΡΕΙΑ!$B$2:$B$14)</f>
        <v>Ολική</v>
      </c>
      <c r="J44">
        <f t="shared" si="5"/>
        <v>43</v>
      </c>
      <c r="K44" s="199">
        <f t="shared" si="1"/>
        <v>43</v>
      </c>
      <c r="L44" t="str">
        <f t="shared" si="2"/>
        <v>ΑΤΤΙΚΗΣ</v>
      </c>
      <c r="M44" t="str">
        <f t="shared" si="3"/>
        <v>ΑΤΤΙΚΗΣ - ΕΛΛΗΝΙΚΟΥ – ΑΡΓΥΡΟΥΠΟΛΗΣ</v>
      </c>
      <c r="N44" s="197">
        <f t="shared" si="4"/>
        <v>14090</v>
      </c>
      <c r="O44" s="197" t="str">
        <f t="shared" si="6"/>
        <v>Ελληνικού - Αργυρούπολης</v>
      </c>
    </row>
    <row r="45" spans="1:15" x14ac:dyDescent="0.25">
      <c r="A45" s="199">
        <v>44</v>
      </c>
      <c r="B45" t="s">
        <v>40</v>
      </c>
      <c r="C45" t="s">
        <v>371</v>
      </c>
      <c r="D45" t="s">
        <v>104</v>
      </c>
      <c r="E45" t="str">
        <f t="shared" si="0"/>
        <v xml:space="preserve">ΑΤΤΙΚΗΣ - ΖΩΓΡΑΦΟΥ, </v>
      </c>
      <c r="F45" s="225" t="s">
        <v>619</v>
      </c>
      <c r="G45" s="225">
        <v>14118</v>
      </c>
      <c r="H45" t="str">
        <f>IFERROR(INDEX(DimosNaiOxi,MATCH(ΤΚ!E45,DimosNai,0)),"")</f>
        <v/>
      </c>
      <c r="I45" t="str">
        <f>LOOKUP(B45,ΠΕΡΙΦΕΡΕΙΑ!$A$2:$A$14,ΠΕΡΙΦΕΡΕΙΑ!$B$2:$B$14)</f>
        <v>Ολική</v>
      </c>
      <c r="J45">
        <f t="shared" si="5"/>
        <v>44</v>
      </c>
      <c r="K45" s="199">
        <f t="shared" si="1"/>
        <v>44</v>
      </c>
      <c r="L45" t="str">
        <f t="shared" si="2"/>
        <v>ΑΤΤΙΚΗΣ</v>
      </c>
      <c r="M45" t="str">
        <f t="shared" si="3"/>
        <v>ΑΤΤΙΚΗΣ - ΖΩΓΡΑΦΟΥ</v>
      </c>
      <c r="N45" s="197">
        <f t="shared" si="4"/>
        <v>14118</v>
      </c>
      <c r="O45" s="197" t="str">
        <f t="shared" si="6"/>
        <v>Ζωγράφου</v>
      </c>
    </row>
    <row r="46" spans="1:15" x14ac:dyDescent="0.25">
      <c r="A46" s="199">
        <v>45</v>
      </c>
      <c r="B46" t="s">
        <v>40</v>
      </c>
      <c r="C46" t="s">
        <v>371</v>
      </c>
      <c r="D46" t="s">
        <v>105</v>
      </c>
      <c r="E46" t="str">
        <f t="shared" si="0"/>
        <v xml:space="preserve">ΑΤΤΙΚΗΣ - ΗΛΙΟΥΠΟΛΕΩΣ, </v>
      </c>
      <c r="F46" s="225" t="s">
        <v>620</v>
      </c>
      <c r="G46" s="225">
        <v>14122</v>
      </c>
      <c r="H46" t="str">
        <f>IFERROR(INDEX(DimosNaiOxi,MATCH(ΤΚ!E46,DimosNai,0)),"")</f>
        <v/>
      </c>
      <c r="I46" t="str">
        <f>LOOKUP(B46,ΠΕΡΙΦΕΡΕΙΑ!$A$2:$A$14,ΠΕΡΙΦΕΡΕΙΑ!$B$2:$B$14)</f>
        <v>Ολική</v>
      </c>
      <c r="J46">
        <f t="shared" si="5"/>
        <v>45</v>
      </c>
      <c r="K46" s="199">
        <f t="shared" si="1"/>
        <v>45</v>
      </c>
      <c r="L46" t="str">
        <f t="shared" si="2"/>
        <v>ΑΤΤΙΚΗΣ</v>
      </c>
      <c r="M46" t="str">
        <f t="shared" si="3"/>
        <v>ΑΤΤΙΚΗΣ - ΗΛΙΟΥΠΟΛΕΩΣ</v>
      </c>
      <c r="N46" s="197">
        <f t="shared" si="4"/>
        <v>14122</v>
      </c>
      <c r="O46" s="197" t="str">
        <f t="shared" si="6"/>
        <v>Ηλιούπολης</v>
      </c>
    </row>
    <row r="47" spans="1:15" x14ac:dyDescent="0.25">
      <c r="A47" s="199">
        <v>46</v>
      </c>
      <c r="B47" t="s">
        <v>40</v>
      </c>
      <c r="C47" t="s">
        <v>368</v>
      </c>
      <c r="D47" t="s">
        <v>79</v>
      </c>
      <c r="E47" t="str">
        <f t="shared" si="0"/>
        <v xml:space="preserve">ΑΤΤΙΚΗΣ - ΗΡΑΚΛΕΙΟΥ, </v>
      </c>
      <c r="F47" s="225" t="s">
        <v>926</v>
      </c>
      <c r="G47" s="225">
        <v>21230</v>
      </c>
      <c r="H47" t="str">
        <f>IFERROR(INDEX(DimosNaiOxi,MATCH(ΤΚ!E47,DimosNai,0)),"")</f>
        <v/>
      </c>
      <c r="I47" t="str">
        <f>LOOKUP(B47,ΠΕΡΙΦΕΡΕΙΑ!$A$2:$A$14,ΠΕΡΙΦΕΡΕΙΑ!$B$2:$B$14)</f>
        <v>Ολική</v>
      </c>
      <c r="J47">
        <f t="shared" si="5"/>
        <v>46</v>
      </c>
      <c r="K47" s="199">
        <f t="shared" si="1"/>
        <v>46</v>
      </c>
      <c r="L47" t="str">
        <f t="shared" si="2"/>
        <v>ΑΤΤΙΚΗΣ</v>
      </c>
      <c r="M47" t="str">
        <f t="shared" si="3"/>
        <v>ΑΤΤΙΚΗΣ - ΗΡΑΚΛΕΙΟΥ</v>
      </c>
      <c r="N47" s="197">
        <f t="shared" si="4"/>
        <v>21230</v>
      </c>
      <c r="O47" s="197" t="str">
        <f t="shared" si="6"/>
        <v>Ηρακλείου Αττικής</v>
      </c>
    </row>
    <row r="48" spans="1:15" x14ac:dyDescent="0.25">
      <c r="A48" s="199">
        <v>47</v>
      </c>
      <c r="B48" t="s">
        <v>40</v>
      </c>
      <c r="C48" t="s">
        <v>370</v>
      </c>
      <c r="D48" t="s">
        <v>96</v>
      </c>
      <c r="E48" t="str">
        <f t="shared" si="0"/>
        <v xml:space="preserve">ΑΤΤΙΚΗΣ - ΙΛΙΟΥ, </v>
      </c>
      <c r="F48" s="225" t="s">
        <v>621</v>
      </c>
      <c r="G48" s="225">
        <v>14154</v>
      </c>
      <c r="H48" t="str">
        <f>IFERROR(INDEX(DimosNaiOxi,MATCH(ΤΚ!E48,DimosNai,0)),"")</f>
        <v/>
      </c>
      <c r="I48" t="str">
        <f>LOOKUP(B48,ΠΕΡΙΦΕΡΕΙΑ!$A$2:$A$14,ΠΕΡΙΦΕΡΕΙΑ!$B$2:$B$14)</f>
        <v>Ολική</v>
      </c>
      <c r="J48">
        <f t="shared" si="5"/>
        <v>47</v>
      </c>
      <c r="K48" s="199">
        <f t="shared" si="1"/>
        <v>47</v>
      </c>
      <c r="L48" t="str">
        <f t="shared" si="2"/>
        <v>ΑΤΤΙΚΗΣ</v>
      </c>
      <c r="M48" t="str">
        <f t="shared" si="3"/>
        <v>ΑΤΤΙΚΗΣ - ΙΛΙΟΥ</v>
      </c>
      <c r="N48" s="197">
        <f t="shared" si="4"/>
        <v>14154</v>
      </c>
      <c r="O48" s="197" t="str">
        <f t="shared" si="6"/>
        <v>Ιλίου</v>
      </c>
    </row>
    <row r="49" spans="1:15" x14ac:dyDescent="0.25">
      <c r="A49" s="199">
        <v>48</v>
      </c>
      <c r="B49" t="s">
        <v>40</v>
      </c>
      <c r="C49" t="s">
        <v>371</v>
      </c>
      <c r="D49" t="s">
        <v>106</v>
      </c>
      <c r="E49" t="str">
        <f t="shared" si="0"/>
        <v xml:space="preserve">ΑΤΤΙΚΗΣ - ΚΑΙΣΑΡΙΑΝΗΣ, </v>
      </c>
      <c r="F49" s="225" t="s">
        <v>622</v>
      </c>
      <c r="G49" s="225">
        <v>14176</v>
      </c>
      <c r="H49" t="str">
        <f>IFERROR(INDEX(DimosNaiOxi,MATCH(ΤΚ!E49,DimosNai,0)),"")</f>
        <v/>
      </c>
      <c r="I49" t="str">
        <f>LOOKUP(B49,ΠΕΡΙΦΕΡΕΙΑ!$A$2:$A$14,ΠΕΡΙΦΕΡΕΙΑ!$B$2:$B$14)</f>
        <v>Ολική</v>
      </c>
      <c r="J49">
        <f t="shared" si="5"/>
        <v>48</v>
      </c>
      <c r="K49" s="199">
        <f t="shared" si="1"/>
        <v>48</v>
      </c>
      <c r="L49" t="str">
        <f t="shared" si="2"/>
        <v>ΑΤΤΙΚΗΣ</v>
      </c>
      <c r="M49" t="str">
        <f t="shared" si="3"/>
        <v>ΑΤΤΙΚΗΣ - ΚΑΙΣΑΡΙΑΝΗΣ</v>
      </c>
      <c r="N49" s="197">
        <f t="shared" si="4"/>
        <v>14176</v>
      </c>
      <c r="O49" s="197" t="str">
        <f t="shared" si="6"/>
        <v>Καισαριανής</v>
      </c>
    </row>
    <row r="50" spans="1:15" x14ac:dyDescent="0.25">
      <c r="A50" s="199">
        <v>49</v>
      </c>
      <c r="B50" t="s">
        <v>40</v>
      </c>
      <c r="C50" t="s">
        <v>373</v>
      </c>
      <c r="D50" t="s">
        <v>120</v>
      </c>
      <c r="E50" t="str">
        <f t="shared" si="0"/>
        <v xml:space="preserve">ΑΤΤΙΚΗΣ - ΚΑΛΛΙΘΕΑΣ, </v>
      </c>
      <c r="F50" s="225" t="s">
        <v>623</v>
      </c>
      <c r="G50" s="225">
        <v>14186</v>
      </c>
      <c r="H50" t="str">
        <f>IFERROR(INDEX(DimosNaiOxi,MATCH(ΤΚ!E50,DimosNai,0)),"")</f>
        <v/>
      </c>
      <c r="I50" t="str">
        <f>LOOKUP(B50,ΠΕΡΙΦΕΡΕΙΑ!$A$2:$A$14,ΠΕΡΙΦΕΡΕΙΑ!$B$2:$B$14)</f>
        <v>Ολική</v>
      </c>
      <c r="J50">
        <f t="shared" si="5"/>
        <v>49</v>
      </c>
      <c r="K50" s="199">
        <f t="shared" si="1"/>
        <v>49</v>
      </c>
      <c r="L50" t="str">
        <f t="shared" si="2"/>
        <v>ΑΤΤΙΚΗΣ</v>
      </c>
      <c r="M50" t="str">
        <f t="shared" si="3"/>
        <v>ΑΤΤΙΚΗΣ - ΚΑΛΛΙΘΕΑΣ</v>
      </c>
      <c r="N50" s="197">
        <f t="shared" si="4"/>
        <v>14186</v>
      </c>
      <c r="O50" s="197" t="str">
        <f t="shared" si="6"/>
        <v>Καλλιθέας</v>
      </c>
    </row>
    <row r="51" spans="1:15" x14ac:dyDescent="0.25">
      <c r="A51" s="199">
        <v>50</v>
      </c>
      <c r="B51" t="s">
        <v>40</v>
      </c>
      <c r="C51" t="s">
        <v>127</v>
      </c>
      <c r="D51" t="s">
        <v>124</v>
      </c>
      <c r="E51" t="str">
        <f t="shared" si="0"/>
        <v xml:space="preserve">ΑΤΤΙΚΗΣ - ΚΕΡΑΤΣΙΝΙΟΥ – ΔΡΑΠΕΤΣΩΝΑΣ, </v>
      </c>
      <c r="F51" s="225" t="s">
        <v>624</v>
      </c>
      <c r="G51" s="225">
        <v>14208</v>
      </c>
      <c r="H51" t="str">
        <f>IFERROR(INDEX(DimosNaiOxi,MATCH(ΤΚ!E51,DimosNai,0)),"")</f>
        <v/>
      </c>
      <c r="I51" t="str">
        <f>LOOKUP(B51,ΠΕΡΙΦΕΡΕΙΑ!$A$2:$A$14,ΠΕΡΙΦΕΡΕΙΑ!$B$2:$B$14)</f>
        <v>Ολική</v>
      </c>
      <c r="J51">
        <f t="shared" si="5"/>
        <v>50</v>
      </c>
      <c r="K51" s="199">
        <f t="shared" si="1"/>
        <v>50</v>
      </c>
      <c r="L51" t="str">
        <f t="shared" si="2"/>
        <v>ΑΤΤΙΚΗΣ</v>
      </c>
      <c r="M51" t="str">
        <f t="shared" si="3"/>
        <v>ΑΤΤΙΚΗΣ - ΚΕΡΑΤΣΙΝΙΟΥ – ΔΡΑΠΕΤΣΩΝΑΣ</v>
      </c>
      <c r="N51" s="197">
        <f t="shared" si="4"/>
        <v>14208</v>
      </c>
      <c r="O51" s="197" t="str">
        <f t="shared" si="6"/>
        <v>Κερατσινίου - Δραπετσώνας</v>
      </c>
    </row>
    <row r="52" spans="1:15" x14ac:dyDescent="0.25">
      <c r="A52" s="199">
        <v>51</v>
      </c>
      <c r="B52" t="s">
        <v>40</v>
      </c>
      <c r="C52" t="s">
        <v>368</v>
      </c>
      <c r="D52" t="s">
        <v>80</v>
      </c>
      <c r="E52" t="str">
        <f t="shared" si="0"/>
        <v xml:space="preserve">ΑΤΤΙΚΗΣ - ΚΗΦΙΣΙΑΣ, </v>
      </c>
      <c r="F52" s="225" t="s">
        <v>625</v>
      </c>
      <c r="G52" s="225">
        <v>14212</v>
      </c>
      <c r="H52" t="str">
        <f>IFERROR(INDEX(DimosNaiOxi,MATCH(ΤΚ!E52,DimosNai,0)),"")</f>
        <v/>
      </c>
      <c r="I52" t="str">
        <f>LOOKUP(B52,ΠΕΡΙΦΕΡΕΙΑ!$A$2:$A$14,ΠΕΡΙΦΕΡΕΙΑ!$B$2:$B$14)</f>
        <v>Ολική</v>
      </c>
      <c r="J52">
        <f t="shared" si="5"/>
        <v>51</v>
      </c>
      <c r="K52" s="199">
        <f t="shared" si="1"/>
        <v>51</v>
      </c>
      <c r="L52" t="str">
        <f t="shared" si="2"/>
        <v>ΑΤΤΙΚΗΣ</v>
      </c>
      <c r="M52" t="str">
        <f t="shared" si="3"/>
        <v>ΑΤΤΙΚΗΣ - ΚΗΦΙΣΙΑΣ</v>
      </c>
      <c r="N52" s="197">
        <f t="shared" si="4"/>
        <v>14212</v>
      </c>
      <c r="O52" s="197" t="str">
        <f t="shared" si="6"/>
        <v>Κηφισιάς</v>
      </c>
    </row>
    <row r="53" spans="1:15" x14ac:dyDescent="0.25">
      <c r="A53" s="199">
        <v>52</v>
      </c>
      <c r="B53" t="s">
        <v>40</v>
      </c>
      <c r="C53" t="s">
        <v>127</v>
      </c>
      <c r="D53" t="s">
        <v>125</v>
      </c>
      <c r="E53" t="str">
        <f t="shared" si="0"/>
        <v xml:space="preserve">ΑΤΤΙΚΗΣ - ΚΟΡΥΔΑΛΛΟΥ, </v>
      </c>
      <c r="F53" s="225" t="s">
        <v>626</v>
      </c>
      <c r="G53" s="225">
        <v>14230</v>
      </c>
      <c r="H53" t="str">
        <f>IFERROR(INDEX(DimosNaiOxi,MATCH(ΤΚ!E53,DimosNai,0)),"")</f>
        <v/>
      </c>
      <c r="I53" t="str">
        <f>LOOKUP(B53,ΠΕΡΙΦΕΡΕΙΑ!$A$2:$A$14,ΠΕΡΙΦΕΡΕΙΑ!$B$2:$B$14)</f>
        <v>Ολική</v>
      </c>
      <c r="J53">
        <f t="shared" si="5"/>
        <v>52</v>
      </c>
      <c r="K53" s="199">
        <f t="shared" si="1"/>
        <v>52</v>
      </c>
      <c r="L53" t="str">
        <f t="shared" si="2"/>
        <v>ΑΤΤΙΚΗΣ</v>
      </c>
      <c r="M53" t="str">
        <f t="shared" si="3"/>
        <v>ΑΤΤΙΚΗΣ - ΚΟΡΥΔΑΛΛΟΥ</v>
      </c>
      <c r="N53" s="197">
        <f t="shared" si="4"/>
        <v>14230</v>
      </c>
      <c r="O53" s="197" t="str">
        <f t="shared" si="6"/>
        <v>Κορυδαλλού</v>
      </c>
    </row>
    <row r="54" spans="1:15" x14ac:dyDescent="0.25">
      <c r="A54" s="199">
        <v>53</v>
      </c>
      <c r="B54" t="s">
        <v>40</v>
      </c>
      <c r="C54" t="s">
        <v>367</v>
      </c>
      <c r="D54" t="s">
        <v>66</v>
      </c>
      <c r="E54" t="str">
        <f t="shared" si="0"/>
        <v xml:space="preserve">ΑΤΤΙΚΗΣ - ΚΡΩΠΙΑΣ, </v>
      </c>
      <c r="F54" s="225" t="s">
        <v>627</v>
      </c>
      <c r="G54" s="225">
        <v>14232</v>
      </c>
      <c r="H54" t="str">
        <f>IFERROR(INDEX(DimosNaiOxi,MATCH(ΤΚ!E54,DimosNai,0)),"")</f>
        <v/>
      </c>
      <c r="I54" t="str">
        <f>LOOKUP(B54,ΠΕΡΙΦΕΡΕΙΑ!$A$2:$A$14,ΠΕΡΙΦΕΡΕΙΑ!$B$2:$B$14)</f>
        <v>Ολική</v>
      </c>
      <c r="J54">
        <f t="shared" si="5"/>
        <v>53</v>
      </c>
      <c r="K54" s="199">
        <f t="shared" si="1"/>
        <v>53</v>
      </c>
      <c r="L54" t="str">
        <f t="shared" si="2"/>
        <v>ΑΤΤΙΚΗΣ</v>
      </c>
      <c r="M54" t="str">
        <f t="shared" si="3"/>
        <v>ΑΤΤΙΚΗΣ - ΚΡΩΠΙΑΣ</v>
      </c>
      <c r="N54" s="197">
        <f t="shared" si="4"/>
        <v>14232</v>
      </c>
      <c r="O54" s="197" t="str">
        <f t="shared" si="6"/>
        <v>Κρωπίας</v>
      </c>
    </row>
    <row r="55" spans="1:15" x14ac:dyDescent="0.25">
      <c r="A55" s="199">
        <v>54</v>
      </c>
      <c r="B55" t="s">
        <v>40</v>
      </c>
      <c r="C55" t="s">
        <v>372</v>
      </c>
      <c r="D55" t="s">
        <v>110</v>
      </c>
      <c r="E55" t="str">
        <f t="shared" si="0"/>
        <v xml:space="preserve">ΑΤΤΙΚΗΣ - ΚΥΘΗΡΩΝ, </v>
      </c>
      <c r="F55" s="225" t="s">
        <v>628</v>
      </c>
      <c r="G55" s="225">
        <v>14234</v>
      </c>
      <c r="H55" t="str">
        <f>IFERROR(INDEX(DimosNaiOxi,MATCH(ΤΚ!E55,DimosNai,0)),"")</f>
        <v/>
      </c>
      <c r="I55" t="str">
        <f>LOOKUP(B55,ΠΕΡΙΦΕΡΕΙΑ!$A$2:$A$14,ΠΕΡΙΦΕΡΕΙΑ!$B$2:$B$14)</f>
        <v>Ολική</v>
      </c>
      <c r="J55">
        <f t="shared" si="5"/>
        <v>54</v>
      </c>
      <c r="K55" s="199">
        <f t="shared" si="1"/>
        <v>54</v>
      </c>
      <c r="L55" t="str">
        <f t="shared" si="2"/>
        <v>ΑΤΤΙΚΗΣ</v>
      </c>
      <c r="M55" t="str">
        <f t="shared" si="3"/>
        <v>ΑΤΤΙΚΗΣ - ΚΥΘΗΡΩΝ</v>
      </c>
      <c r="N55" s="197">
        <f t="shared" si="4"/>
        <v>14234</v>
      </c>
      <c r="O55" s="197" t="str">
        <f t="shared" si="6"/>
        <v>Κυθήρων</v>
      </c>
    </row>
    <row r="56" spans="1:15" x14ac:dyDescent="0.25">
      <c r="A56" s="199">
        <v>55</v>
      </c>
      <c r="B56" t="s">
        <v>40</v>
      </c>
      <c r="C56" t="s">
        <v>367</v>
      </c>
      <c r="D56" t="s">
        <v>67</v>
      </c>
      <c r="E56" t="str">
        <f t="shared" si="0"/>
        <v xml:space="preserve">ΑΤΤΙΚΗΣ - ΛΑΥΡΕΩΤΙΚΗΣ, </v>
      </c>
      <c r="F56" s="225" t="s">
        <v>629</v>
      </c>
      <c r="G56" s="225">
        <v>14252</v>
      </c>
      <c r="H56" t="str">
        <f>IFERROR(INDEX(DimosNaiOxi,MATCH(ΤΚ!E56,DimosNai,0)),"")</f>
        <v/>
      </c>
      <c r="I56" t="str">
        <f>LOOKUP(B56,ΠΕΡΙΦΕΡΕΙΑ!$A$2:$A$14,ΠΕΡΙΦΕΡΕΙΑ!$B$2:$B$14)</f>
        <v>Ολική</v>
      </c>
      <c r="J56">
        <f t="shared" si="5"/>
        <v>55</v>
      </c>
      <c r="K56" s="199">
        <f t="shared" si="1"/>
        <v>55</v>
      </c>
      <c r="L56" t="str">
        <f t="shared" si="2"/>
        <v>ΑΤΤΙΚΗΣ</v>
      </c>
      <c r="M56" t="str">
        <f t="shared" si="3"/>
        <v>ΑΤΤΙΚΗΣ - ΛΑΥΡΕΩΤΙΚΗΣ</v>
      </c>
      <c r="N56" s="197">
        <f t="shared" si="4"/>
        <v>14252</v>
      </c>
      <c r="O56" s="197" t="str">
        <f t="shared" si="6"/>
        <v>Λαυρεωτικής</v>
      </c>
    </row>
    <row r="57" spans="1:15" x14ac:dyDescent="0.25">
      <c r="A57" s="199">
        <v>56</v>
      </c>
      <c r="B57" t="s">
        <v>40</v>
      </c>
      <c r="C57" t="s">
        <v>368</v>
      </c>
      <c r="D57" t="s">
        <v>81</v>
      </c>
      <c r="E57" t="str">
        <f t="shared" si="0"/>
        <v xml:space="preserve">ΑΤΤΙΚΗΣ - ΛΥΚΟΒΡΥΣΗΣ – ΠΕΥΚΗΣ, </v>
      </c>
      <c r="F57" s="225" t="s">
        <v>630</v>
      </c>
      <c r="G57" s="225">
        <v>14264</v>
      </c>
      <c r="H57" t="str">
        <f>IFERROR(INDEX(DimosNaiOxi,MATCH(ΤΚ!E57,DimosNai,0)),"")</f>
        <v/>
      </c>
      <c r="I57" t="str">
        <f>LOOKUP(B57,ΠΕΡΙΦΕΡΕΙΑ!$A$2:$A$14,ΠΕΡΙΦΕΡΕΙΑ!$B$2:$B$14)</f>
        <v>Ολική</v>
      </c>
      <c r="J57">
        <f t="shared" si="5"/>
        <v>56</v>
      </c>
      <c r="K57" s="199">
        <f t="shared" si="1"/>
        <v>56</v>
      </c>
      <c r="L57" t="str">
        <f t="shared" si="2"/>
        <v>ΑΤΤΙΚΗΣ</v>
      </c>
      <c r="M57" t="str">
        <f t="shared" si="3"/>
        <v>ΑΤΤΙΚΗΣ - ΛΥΚΟΒΡΥΣΗΣ – ΠΕΥΚΗΣ</v>
      </c>
      <c r="N57" s="197">
        <f t="shared" si="4"/>
        <v>14264</v>
      </c>
      <c r="O57" s="197" t="str">
        <f t="shared" si="6"/>
        <v>Λυκόβρυσης - Πεύκης</v>
      </c>
    </row>
    <row r="58" spans="1:15" x14ac:dyDescent="0.25">
      <c r="A58" s="199">
        <v>57</v>
      </c>
      <c r="B58" t="s">
        <v>40</v>
      </c>
      <c r="C58" t="s">
        <v>369</v>
      </c>
      <c r="D58" t="s">
        <v>90</v>
      </c>
      <c r="E58" t="str">
        <f t="shared" si="0"/>
        <v xml:space="preserve">ΑΤΤΙΚΗΣ - ΜΑΝΔΡΑΣ – ΕΙΔΥΛΛΙΑΣ, </v>
      </c>
      <c r="F58" s="225" t="s">
        <v>631</v>
      </c>
      <c r="G58" s="225">
        <v>14266</v>
      </c>
      <c r="H58" t="str">
        <f>IFERROR(INDEX(DimosNaiOxi,MATCH(ΤΚ!E58,DimosNai,0)),"")</f>
        <v/>
      </c>
      <c r="I58" t="str">
        <f>LOOKUP(B58,ΠΕΡΙΦΕΡΕΙΑ!$A$2:$A$14,ΠΕΡΙΦΕΡΕΙΑ!$B$2:$B$14)</f>
        <v>Ολική</v>
      </c>
      <c r="J58">
        <f t="shared" si="5"/>
        <v>57</v>
      </c>
      <c r="K58" s="199">
        <f t="shared" si="1"/>
        <v>57</v>
      </c>
      <c r="L58" t="str">
        <f t="shared" si="2"/>
        <v>ΑΤΤΙΚΗΣ</v>
      </c>
      <c r="M58" t="str">
        <f t="shared" si="3"/>
        <v>ΑΤΤΙΚΗΣ - ΜΑΝΔΡΑΣ – ΕΙΔΥΛΛΙΑΣ</v>
      </c>
      <c r="N58" s="197">
        <f t="shared" si="4"/>
        <v>14266</v>
      </c>
      <c r="O58" s="197" t="str">
        <f t="shared" si="6"/>
        <v>Μάνδρας - Ειδυλλίας</v>
      </c>
    </row>
    <row r="59" spans="1:15" x14ac:dyDescent="0.25">
      <c r="A59" s="199">
        <v>58</v>
      </c>
      <c r="B59" t="s">
        <v>40</v>
      </c>
      <c r="C59" t="s">
        <v>367</v>
      </c>
      <c r="D59" t="s">
        <v>68</v>
      </c>
      <c r="E59" t="str">
        <f t="shared" si="0"/>
        <v xml:space="preserve">ΑΤΤΙΚΗΣ - ΜΑΡΑΘΩΝΟΣ, </v>
      </c>
      <c r="F59" s="225" t="s">
        <v>632</v>
      </c>
      <c r="G59" s="225">
        <v>14280</v>
      </c>
      <c r="H59" t="str">
        <f>IFERROR(INDEX(DimosNaiOxi,MATCH(ΤΚ!E59,DimosNai,0)),"")</f>
        <v/>
      </c>
      <c r="I59" t="str">
        <f>LOOKUP(B59,ΠΕΡΙΦΕΡΕΙΑ!$A$2:$A$14,ΠΕΡΙΦΕΡΕΙΑ!$B$2:$B$14)</f>
        <v>Ολική</v>
      </c>
      <c r="J59">
        <f t="shared" si="5"/>
        <v>58</v>
      </c>
      <c r="K59" s="199">
        <f t="shared" si="1"/>
        <v>58</v>
      </c>
      <c r="L59" t="str">
        <f t="shared" si="2"/>
        <v>ΑΤΤΙΚΗΣ</v>
      </c>
      <c r="M59" t="str">
        <f t="shared" si="3"/>
        <v>ΑΤΤΙΚΗΣ - ΜΑΡΑΘΩΝΟΣ</v>
      </c>
      <c r="N59" s="197">
        <f t="shared" si="4"/>
        <v>14280</v>
      </c>
      <c r="O59" s="197" t="str">
        <f t="shared" si="6"/>
        <v>Μαραθώνος</v>
      </c>
    </row>
    <row r="60" spans="1:15" x14ac:dyDescent="0.25">
      <c r="A60" s="199">
        <v>59</v>
      </c>
      <c r="B60" t="s">
        <v>40</v>
      </c>
      <c r="C60" t="s">
        <v>367</v>
      </c>
      <c r="D60" t="s">
        <v>69</v>
      </c>
      <c r="E60" t="str">
        <f t="shared" si="0"/>
        <v xml:space="preserve">ΑΤΤΙΚΗΣ - ΜΑΡΚΟΠΟΥΛΟΥ ΜΕΣΟΓΑΙΑΣ, </v>
      </c>
      <c r="F60" s="225" t="s">
        <v>633</v>
      </c>
      <c r="G60" s="225">
        <v>14282</v>
      </c>
      <c r="H60" t="str">
        <f>IFERROR(INDEX(DimosNaiOxi,MATCH(ΤΚ!E60,DimosNai,0)),"")</f>
        <v/>
      </c>
      <c r="I60" t="str">
        <f>LOOKUP(B60,ΠΕΡΙΦΕΡΕΙΑ!$A$2:$A$14,ΠΕΡΙΦΕΡΕΙΑ!$B$2:$B$14)</f>
        <v>Ολική</v>
      </c>
      <c r="J60">
        <f t="shared" si="5"/>
        <v>59</v>
      </c>
      <c r="K60" s="199">
        <f t="shared" si="1"/>
        <v>59</v>
      </c>
      <c r="L60" t="str">
        <f t="shared" si="2"/>
        <v>ΑΤΤΙΚΗΣ</v>
      </c>
      <c r="M60" t="str">
        <f t="shared" si="3"/>
        <v>ΑΤΤΙΚΗΣ - ΜΑΡΚΟΠΟΥΛΟΥ ΜΕΣΟΓΑΙΑΣ</v>
      </c>
      <c r="N60" s="197">
        <f t="shared" si="4"/>
        <v>14282</v>
      </c>
      <c r="O60" s="197" t="str">
        <f t="shared" si="6"/>
        <v>Μαρκοπούλου Μεσογαίας</v>
      </c>
    </row>
    <row r="61" spans="1:15" x14ac:dyDescent="0.25">
      <c r="A61" s="199">
        <v>60</v>
      </c>
      <c r="B61" t="s">
        <v>40</v>
      </c>
      <c r="C61" t="s">
        <v>369</v>
      </c>
      <c r="D61" t="s">
        <v>91</v>
      </c>
      <c r="E61" t="str">
        <f t="shared" si="0"/>
        <v xml:space="preserve">ΑΤΤΙΚΗΣ - ΜΕΓΑΡΕΩΝ, </v>
      </c>
      <c r="F61" s="225" t="s">
        <v>634</v>
      </c>
      <c r="G61" s="225">
        <v>14292</v>
      </c>
      <c r="H61" t="str">
        <f>IFERROR(INDEX(DimosNaiOxi,MATCH(ΤΚ!E61,DimosNai,0)),"")</f>
        <v/>
      </c>
      <c r="I61" t="str">
        <f>LOOKUP(B61,ΠΕΡΙΦΕΡΕΙΑ!$A$2:$A$14,ΠΕΡΙΦΕΡΕΙΑ!$B$2:$B$14)</f>
        <v>Ολική</v>
      </c>
      <c r="J61">
        <f t="shared" si="5"/>
        <v>60</v>
      </c>
      <c r="K61" s="199">
        <f t="shared" si="1"/>
        <v>60</v>
      </c>
      <c r="L61" t="str">
        <f t="shared" si="2"/>
        <v>ΑΤΤΙΚΗΣ</v>
      </c>
      <c r="M61" t="str">
        <f t="shared" si="3"/>
        <v>ΑΤΤΙΚΗΣ - ΜΕΓΑΡΕΩΝ</v>
      </c>
      <c r="N61" s="197">
        <f t="shared" si="4"/>
        <v>14292</v>
      </c>
      <c r="O61" s="197" t="str">
        <f t="shared" si="6"/>
        <v>Μεγαρέων</v>
      </c>
    </row>
    <row r="62" spans="1:15" x14ac:dyDescent="0.25">
      <c r="A62" s="199">
        <v>61</v>
      </c>
      <c r="B62" t="s">
        <v>40</v>
      </c>
      <c r="C62" t="s">
        <v>368</v>
      </c>
      <c r="D62" t="s">
        <v>82</v>
      </c>
      <c r="E62" t="str">
        <f t="shared" si="0"/>
        <v xml:space="preserve">ΑΤΤΙΚΗΣ - ΜΕΤΑΜΟΡΦΩΣΕΩΣ, </v>
      </c>
      <c r="F62" s="225" t="s">
        <v>635</v>
      </c>
      <c r="G62" s="225">
        <v>14296</v>
      </c>
      <c r="H62" t="str">
        <f>IFERROR(INDEX(DimosNaiOxi,MATCH(ΤΚ!E62,DimosNai,0)),"")</f>
        <v/>
      </c>
      <c r="I62" t="str">
        <f>LOOKUP(B62,ΠΕΡΙΦΕΡΕΙΑ!$A$2:$A$14,ΠΕΡΙΦΕΡΕΙΑ!$B$2:$B$14)</f>
        <v>Ολική</v>
      </c>
      <c r="J62">
        <f t="shared" si="5"/>
        <v>61</v>
      </c>
      <c r="K62" s="199">
        <f t="shared" si="1"/>
        <v>61</v>
      </c>
      <c r="L62" t="str">
        <f t="shared" si="2"/>
        <v>ΑΤΤΙΚΗΣ</v>
      </c>
      <c r="M62" t="str">
        <f t="shared" si="3"/>
        <v>ΑΤΤΙΚΗΣ - ΜΕΤΑΜΟΡΦΩΣΕΩΣ</v>
      </c>
      <c r="N62" s="197">
        <f t="shared" si="4"/>
        <v>14296</v>
      </c>
      <c r="O62" s="197" t="str">
        <f t="shared" si="6"/>
        <v>Μεταμορφώσεως</v>
      </c>
    </row>
    <row r="63" spans="1:15" x14ac:dyDescent="0.25">
      <c r="A63" s="199">
        <v>62</v>
      </c>
      <c r="B63" t="s">
        <v>40</v>
      </c>
      <c r="C63" t="s">
        <v>373</v>
      </c>
      <c r="D63" t="s">
        <v>121</v>
      </c>
      <c r="E63" t="str">
        <f t="shared" si="0"/>
        <v xml:space="preserve">ΑΤΤΙΚΗΣ - ΜΟΣΧΑΤΟΥ – ΤΑΥΡΟΥ, </v>
      </c>
      <c r="F63" s="225" t="s">
        <v>636</v>
      </c>
      <c r="G63" s="225">
        <v>14304</v>
      </c>
      <c r="H63" t="str">
        <f>IFERROR(INDEX(DimosNaiOxi,MATCH(ΤΚ!E63,DimosNai,0)),"")</f>
        <v/>
      </c>
      <c r="I63" t="str">
        <f>LOOKUP(B63,ΠΕΡΙΦΕΡΕΙΑ!$A$2:$A$14,ΠΕΡΙΦΕΡΕΙΑ!$B$2:$B$14)</f>
        <v>Ολική</v>
      </c>
      <c r="J63">
        <f t="shared" si="5"/>
        <v>62</v>
      </c>
      <c r="K63" s="199">
        <f t="shared" si="1"/>
        <v>62</v>
      </c>
      <c r="L63" t="str">
        <f t="shared" si="2"/>
        <v>ΑΤΤΙΚΗΣ</v>
      </c>
      <c r="M63" t="str">
        <f t="shared" si="3"/>
        <v>ΑΤΤΙΚΗΣ - ΜΟΣΧΑΤΟΥ – ΤΑΥΡΟΥ</v>
      </c>
      <c r="N63" s="197">
        <f t="shared" si="4"/>
        <v>14304</v>
      </c>
      <c r="O63" s="197" t="str">
        <f t="shared" si="6"/>
        <v>Μοσχάτου - Ταύρου</v>
      </c>
    </row>
    <row r="64" spans="1:15" x14ac:dyDescent="0.25">
      <c r="A64" s="199">
        <v>63</v>
      </c>
      <c r="B64" t="s">
        <v>40</v>
      </c>
      <c r="C64" t="s">
        <v>368</v>
      </c>
      <c r="D64" t="s">
        <v>83</v>
      </c>
      <c r="E64" t="str">
        <f t="shared" si="0"/>
        <v xml:space="preserve">ΑΤΤΙΚΗΣ - ΝΕΑΣ ΙΩΝΙΑΣ, </v>
      </c>
      <c r="F64" s="225" t="s">
        <v>637</v>
      </c>
      <c r="G64" s="225">
        <v>14320</v>
      </c>
      <c r="H64" t="str">
        <f>IFERROR(INDEX(DimosNaiOxi,MATCH(ΤΚ!E64,DimosNai,0)),"")</f>
        <v/>
      </c>
      <c r="I64" t="str">
        <f>LOOKUP(B64,ΠΕΡΙΦΕΡΕΙΑ!$A$2:$A$14,ΠΕΡΙΦΕΡΕΙΑ!$B$2:$B$14)</f>
        <v>Ολική</v>
      </c>
      <c r="J64">
        <f t="shared" si="5"/>
        <v>63</v>
      </c>
      <c r="K64" s="199">
        <f t="shared" si="1"/>
        <v>63</v>
      </c>
      <c r="L64" t="str">
        <f t="shared" si="2"/>
        <v>ΑΤΤΙΚΗΣ</v>
      </c>
      <c r="M64" t="str">
        <f t="shared" si="3"/>
        <v>ΑΤΤΙΚΗΣ - ΝΕΑΣ ΙΩΝΙΑΣ</v>
      </c>
      <c r="N64" s="197">
        <f t="shared" si="4"/>
        <v>14320</v>
      </c>
      <c r="O64" s="197" t="str">
        <f t="shared" si="6"/>
        <v>Νέας Ιωνίας</v>
      </c>
    </row>
    <row r="65" spans="1:15" x14ac:dyDescent="0.25">
      <c r="A65" s="199">
        <v>64</v>
      </c>
      <c r="B65" t="s">
        <v>40</v>
      </c>
      <c r="C65" t="s">
        <v>373</v>
      </c>
      <c r="D65" t="s">
        <v>122</v>
      </c>
      <c r="E65" t="str">
        <f t="shared" si="0"/>
        <v xml:space="preserve">ΑΤΤΙΚΗΣ - ΝΕΑΣ ΣΜΥΡΝΗΣ, </v>
      </c>
      <c r="F65" s="225" t="s">
        <v>638</v>
      </c>
      <c r="G65" s="225">
        <v>14324</v>
      </c>
      <c r="H65" t="str">
        <f>IFERROR(INDEX(DimosNaiOxi,MATCH(ΤΚ!E65,DimosNai,0)),"")</f>
        <v/>
      </c>
      <c r="I65" t="str">
        <f>LOOKUP(B65,ΠΕΡΙΦΕΡΕΙΑ!$A$2:$A$14,ΠΕΡΙΦΕΡΕΙΑ!$B$2:$B$14)</f>
        <v>Ολική</v>
      </c>
      <c r="J65">
        <f t="shared" si="5"/>
        <v>64</v>
      </c>
      <c r="K65" s="199">
        <f t="shared" si="1"/>
        <v>64</v>
      </c>
      <c r="L65" t="str">
        <f t="shared" si="2"/>
        <v>ΑΤΤΙΚΗΣ</v>
      </c>
      <c r="M65" t="str">
        <f t="shared" si="3"/>
        <v>ΑΤΤΙΚΗΣ - ΝΕΑΣ ΣΜΥΡΝΗΣ</v>
      </c>
      <c r="N65" s="197">
        <f t="shared" si="4"/>
        <v>14324</v>
      </c>
      <c r="O65" s="197" t="str">
        <f t="shared" si="6"/>
        <v>Νέας Σμύρνης</v>
      </c>
    </row>
    <row r="66" spans="1:15" x14ac:dyDescent="0.25">
      <c r="A66" s="199">
        <v>65</v>
      </c>
      <c r="B66" t="s">
        <v>40</v>
      </c>
      <c r="C66" t="s">
        <v>127</v>
      </c>
      <c r="D66" t="s">
        <v>126</v>
      </c>
      <c r="E66" t="str">
        <f t="shared" ref="E66:E129" si="7">B66&amp;" - "&amp;D66&amp;", "</f>
        <v xml:space="preserve">ΑΤΤΙΚΗΣ - ΝΙΚΑΙΑΣ – ΑΓΙΟΥ ΙΩΑΝΝΗ ΡΕΝΤΗ, </v>
      </c>
      <c r="F66" s="225" t="s">
        <v>639</v>
      </c>
      <c r="G66" s="225">
        <v>14328</v>
      </c>
      <c r="H66" t="str">
        <f>IFERROR(INDEX(DimosNaiOxi,MATCH(ΤΚ!E66,DimosNai,0)),"")</f>
        <v/>
      </c>
      <c r="I66" t="str">
        <f>LOOKUP(B66,ΠΕΡΙΦΕΡΕΙΑ!$A$2:$A$14,ΠΕΡΙΦΕΡΕΙΑ!$B$2:$B$14)</f>
        <v>Ολική</v>
      </c>
      <c r="J66">
        <f t="shared" si="5"/>
        <v>65</v>
      </c>
      <c r="K66" s="199">
        <f t="shared" ref="K66:K129" si="8">SMALL(J:J,A66)</f>
        <v>65</v>
      </c>
      <c r="L66" t="str">
        <f t="shared" ref="L66:L129" si="9">IF(ISNUMBER(K66),LOOKUP(K66,A:A,B:B),"")</f>
        <v>ΑΤΤΙΚΗΣ</v>
      </c>
      <c r="M66" t="str">
        <f t="shared" ref="M66:M129" si="10">IF(ISNUMBER(K66),LOOKUP(K66,A:A,B:B)&amp;" - "&amp;LOOKUP(K66,A:A,D:D),"")</f>
        <v>ΑΤΤΙΚΗΣ - ΝΙΚΑΙΑΣ – ΑΓΙΟΥ ΙΩΑΝΝΗ ΡΕΝΤΗ</v>
      </c>
      <c r="N66" s="197">
        <f t="shared" si="4"/>
        <v>14328</v>
      </c>
      <c r="O66" s="197" t="str">
        <f t="shared" si="6"/>
        <v>Νίκαιας - Αγίου Ι. Ρέντη</v>
      </c>
    </row>
    <row r="67" spans="1:15" x14ac:dyDescent="0.25">
      <c r="A67" s="199">
        <v>66</v>
      </c>
      <c r="B67" t="s">
        <v>40</v>
      </c>
      <c r="C67" t="s">
        <v>367</v>
      </c>
      <c r="D67" t="s">
        <v>70</v>
      </c>
      <c r="E67" t="str">
        <f t="shared" si="7"/>
        <v xml:space="preserve">ΑΤΤΙΚΗΣ - ΠΑΙΑΝΙΑΣ, </v>
      </c>
      <c r="F67" s="225" t="s">
        <v>640</v>
      </c>
      <c r="G67" s="225">
        <v>14386</v>
      </c>
      <c r="H67" t="str">
        <f>IFERROR(INDEX(DimosNaiOxi,MATCH(ΤΚ!E67,DimosNai,0)),"")</f>
        <v/>
      </c>
      <c r="I67" t="str">
        <f>LOOKUP(B67,ΠΕΡΙΦΕΡΕΙΑ!$A$2:$A$14,ΠΕΡΙΦΕΡΕΙΑ!$B$2:$B$14)</f>
        <v>Ολική</v>
      </c>
      <c r="J67">
        <f t="shared" ref="J67:J130" si="11">IF(OR(AND(I67="Μερική",H67="ΝΑΙ"),I67="Ολική"),A67,"")</f>
        <v>66</v>
      </c>
      <c r="K67" s="199">
        <f t="shared" si="8"/>
        <v>66</v>
      </c>
      <c r="L67" t="str">
        <f t="shared" si="9"/>
        <v>ΑΤΤΙΚΗΣ</v>
      </c>
      <c r="M67" t="str">
        <f t="shared" si="10"/>
        <v>ΑΤΤΙΚΗΣ - ΠΑΙΑΝΙΑΣ</v>
      </c>
      <c r="N67" s="197">
        <f t="shared" ref="N67:N130" si="12">IF(ISNUMBER(K67),LOOKUP(K67,A:A,G:G),"")</f>
        <v>14386</v>
      </c>
      <c r="O67" s="197" t="str">
        <f t="shared" ref="O67:O130" si="13">IF(ISNUMBER(K67),LOOKUP(K67,A:A,F:F),"")</f>
        <v>Παιανίας</v>
      </c>
    </row>
    <row r="68" spans="1:15" x14ac:dyDescent="0.25">
      <c r="A68" s="199">
        <v>67</v>
      </c>
      <c r="B68" t="s">
        <v>40</v>
      </c>
      <c r="C68" t="s">
        <v>373</v>
      </c>
      <c r="D68" t="s">
        <v>123</v>
      </c>
      <c r="E68" t="str">
        <f t="shared" si="7"/>
        <v xml:space="preserve">ΑΤΤΙΚΗΣ - ΠΑΛΑΙΟΥ ΦΑΛΗΡΟΥ, </v>
      </c>
      <c r="F68" s="225" t="s">
        <v>641</v>
      </c>
      <c r="G68" s="225">
        <v>14390</v>
      </c>
      <c r="H68" t="str">
        <f>IFERROR(INDEX(DimosNaiOxi,MATCH(ΤΚ!E68,DimosNai,0)),"")</f>
        <v/>
      </c>
      <c r="I68" t="str">
        <f>LOOKUP(B68,ΠΕΡΙΦΕΡΕΙΑ!$A$2:$A$14,ΠΕΡΙΦΕΡΕΙΑ!$B$2:$B$14)</f>
        <v>Ολική</v>
      </c>
      <c r="J68">
        <f t="shared" si="11"/>
        <v>67</v>
      </c>
      <c r="K68" s="199">
        <f t="shared" si="8"/>
        <v>67</v>
      </c>
      <c r="L68" t="str">
        <f t="shared" si="9"/>
        <v>ΑΤΤΙΚΗΣ</v>
      </c>
      <c r="M68" t="str">
        <f t="shared" si="10"/>
        <v>ΑΤΤΙΚΗΣ - ΠΑΛΑΙΟΥ ΦΑΛΗΡΟΥ</v>
      </c>
      <c r="N68" s="197">
        <f t="shared" si="12"/>
        <v>14390</v>
      </c>
      <c r="O68" s="197" t="str">
        <f t="shared" si="13"/>
        <v>Παλαιού Φαλήρου</v>
      </c>
    </row>
    <row r="69" spans="1:15" x14ac:dyDescent="0.25">
      <c r="A69" s="199">
        <v>68</v>
      </c>
      <c r="B69" t="s">
        <v>40</v>
      </c>
      <c r="C69" t="s">
        <v>367</v>
      </c>
      <c r="D69" t="s">
        <v>71</v>
      </c>
      <c r="E69" t="str">
        <f t="shared" si="7"/>
        <v xml:space="preserve">ΑΤΤΙΚΗΣ - ΠΑΛΛΗΝΗΣ, </v>
      </c>
      <c r="F69" s="225" t="s">
        <v>642</v>
      </c>
      <c r="G69" s="225">
        <v>14394</v>
      </c>
      <c r="H69" t="str">
        <f>IFERROR(INDEX(DimosNaiOxi,MATCH(ΤΚ!E69,DimosNai,0)),"")</f>
        <v/>
      </c>
      <c r="I69" t="str">
        <f>LOOKUP(B69,ΠΕΡΙΦΕΡΕΙΑ!$A$2:$A$14,ΠΕΡΙΦΕΡΕΙΑ!$B$2:$B$14)</f>
        <v>Ολική</v>
      </c>
      <c r="J69">
        <f t="shared" si="11"/>
        <v>68</v>
      </c>
      <c r="K69" s="199">
        <f t="shared" si="8"/>
        <v>68</v>
      </c>
      <c r="L69" t="str">
        <f t="shared" si="9"/>
        <v>ΑΤΤΙΚΗΣ</v>
      </c>
      <c r="M69" t="str">
        <f t="shared" si="10"/>
        <v>ΑΤΤΙΚΗΣ - ΠΑΛΛΗΝΗΣ</v>
      </c>
      <c r="N69" s="197">
        <f t="shared" si="12"/>
        <v>14394</v>
      </c>
      <c r="O69" s="197" t="str">
        <f t="shared" si="13"/>
        <v>Παλλήνης</v>
      </c>
    </row>
    <row r="70" spans="1:15" x14ac:dyDescent="0.25">
      <c r="A70" s="199">
        <v>69</v>
      </c>
      <c r="B70" t="s">
        <v>40</v>
      </c>
      <c r="C70" t="s">
        <v>368</v>
      </c>
      <c r="D70" t="s">
        <v>84</v>
      </c>
      <c r="E70" t="str">
        <f t="shared" si="7"/>
        <v xml:space="preserve">ΑΤΤΙΚΗΣ - ΠΑΠΑΓΟΥ – ΧΟΛΑΡΓΟΥ, </v>
      </c>
      <c r="F70" s="225" t="s">
        <v>643</v>
      </c>
      <c r="G70" s="225">
        <v>14398</v>
      </c>
      <c r="H70" t="str">
        <f>IFERROR(INDEX(DimosNaiOxi,MATCH(ΤΚ!E70,DimosNai,0)),"")</f>
        <v/>
      </c>
      <c r="I70" t="str">
        <f>LOOKUP(B70,ΠΕΡΙΦΕΡΕΙΑ!$A$2:$A$14,ΠΕΡΙΦΕΡΕΙΑ!$B$2:$B$14)</f>
        <v>Ολική</v>
      </c>
      <c r="J70">
        <f t="shared" si="11"/>
        <v>69</v>
      </c>
      <c r="K70" s="199">
        <f t="shared" si="8"/>
        <v>69</v>
      </c>
      <c r="L70" t="str">
        <f t="shared" si="9"/>
        <v>ΑΤΤΙΚΗΣ</v>
      </c>
      <c r="M70" t="str">
        <f t="shared" si="10"/>
        <v>ΑΤΤΙΚΗΣ - ΠΑΠΑΓΟΥ – ΧΟΛΑΡΓΟΥ</v>
      </c>
      <c r="N70" s="197">
        <f t="shared" si="12"/>
        <v>14398</v>
      </c>
      <c r="O70" s="197" t="str">
        <f t="shared" si="13"/>
        <v>Παπάγου - Χολαργού</v>
      </c>
    </row>
    <row r="71" spans="1:15" x14ac:dyDescent="0.25">
      <c r="A71" s="199">
        <v>70</v>
      </c>
      <c r="B71" t="s">
        <v>40</v>
      </c>
      <c r="C71" t="s">
        <v>127</v>
      </c>
      <c r="D71" t="s">
        <v>127</v>
      </c>
      <c r="E71" t="str">
        <f t="shared" si="7"/>
        <v xml:space="preserve">ΑΤΤΙΚΗΣ - ΠΕΙΡΑΙΩΣ, </v>
      </c>
      <c r="F71" s="225" t="s">
        <v>644</v>
      </c>
      <c r="G71" s="225">
        <v>14404</v>
      </c>
      <c r="H71" t="str">
        <f>IFERROR(INDEX(DimosNaiOxi,MATCH(ΤΚ!E71,DimosNai,0)),"")</f>
        <v/>
      </c>
      <c r="I71" t="str">
        <f>LOOKUP(B71,ΠΕΡΙΦΕΡΕΙΑ!$A$2:$A$14,ΠΕΡΙΦΕΡΕΙΑ!$B$2:$B$14)</f>
        <v>Ολική</v>
      </c>
      <c r="J71">
        <f t="shared" si="11"/>
        <v>70</v>
      </c>
      <c r="K71" s="199">
        <f t="shared" si="8"/>
        <v>70</v>
      </c>
      <c r="L71" t="str">
        <f t="shared" si="9"/>
        <v>ΑΤΤΙΚΗΣ</v>
      </c>
      <c r="M71" t="str">
        <f t="shared" si="10"/>
        <v>ΑΤΤΙΚΗΣ - ΠΕΙΡΑΙΩΣ</v>
      </c>
      <c r="N71" s="197">
        <f t="shared" si="12"/>
        <v>14404</v>
      </c>
      <c r="O71" s="197" t="str">
        <f t="shared" si="13"/>
        <v>Πειραιώς</v>
      </c>
    </row>
    <row r="72" spans="1:15" x14ac:dyDescent="0.25">
      <c r="A72" s="199">
        <v>71</v>
      </c>
      <c r="B72" t="s">
        <v>40</v>
      </c>
      <c r="C72" t="s">
        <v>368</v>
      </c>
      <c r="D72" t="s">
        <v>85</v>
      </c>
      <c r="E72" t="str">
        <f t="shared" si="7"/>
        <v xml:space="preserve">ΑΤΤΙΚΗΣ - ΠΕΝΤΕΛΗΣ, </v>
      </c>
      <c r="F72" s="225" t="s">
        <v>645</v>
      </c>
      <c r="G72" s="225">
        <v>14406</v>
      </c>
      <c r="H72" t="str">
        <f>IFERROR(INDEX(DimosNaiOxi,MATCH(ΤΚ!E72,DimosNai,0)),"")</f>
        <v/>
      </c>
      <c r="I72" t="str">
        <f>LOOKUP(B72,ΠΕΡΙΦΕΡΕΙΑ!$A$2:$A$14,ΠΕΡΙΦΕΡΕΙΑ!$B$2:$B$14)</f>
        <v>Ολική</v>
      </c>
      <c r="J72">
        <f t="shared" si="11"/>
        <v>71</v>
      </c>
      <c r="K72" s="199">
        <f t="shared" si="8"/>
        <v>71</v>
      </c>
      <c r="L72" t="str">
        <f t="shared" si="9"/>
        <v>ΑΤΤΙΚΗΣ</v>
      </c>
      <c r="M72" t="str">
        <f t="shared" si="10"/>
        <v>ΑΤΤΙΚΗΣ - ΠΕΝΤΕΛΗΣ</v>
      </c>
      <c r="N72" s="197">
        <f t="shared" si="12"/>
        <v>14406</v>
      </c>
      <c r="O72" s="197" t="str">
        <f t="shared" si="13"/>
        <v>Πεντέλης</v>
      </c>
    </row>
    <row r="73" spans="1:15" x14ac:dyDescent="0.25">
      <c r="A73" s="199">
        <v>72</v>
      </c>
      <c r="B73" t="s">
        <v>40</v>
      </c>
      <c r="C73" t="s">
        <v>127</v>
      </c>
      <c r="D73" t="s">
        <v>128</v>
      </c>
      <c r="E73" t="str">
        <f t="shared" si="7"/>
        <v xml:space="preserve">ΑΤΤΙΚΗΣ - ΠΕΡΑΜΑΤΟΣ, </v>
      </c>
      <c r="F73" s="225" t="s">
        <v>646</v>
      </c>
      <c r="G73" s="225">
        <v>14408</v>
      </c>
      <c r="H73" t="str">
        <f>IFERROR(INDEX(DimosNaiOxi,MATCH(ΤΚ!E73,DimosNai,0)),"")</f>
        <v/>
      </c>
      <c r="I73" t="str">
        <f>LOOKUP(B73,ΠΕΡΙΦΕΡΕΙΑ!$A$2:$A$14,ΠΕΡΙΦΕΡΕΙΑ!$B$2:$B$14)</f>
        <v>Ολική</v>
      </c>
      <c r="J73">
        <f t="shared" si="11"/>
        <v>72</v>
      </c>
      <c r="K73" s="199">
        <f t="shared" si="8"/>
        <v>72</v>
      </c>
      <c r="L73" t="str">
        <f t="shared" si="9"/>
        <v>ΑΤΤΙΚΗΣ</v>
      </c>
      <c r="M73" t="str">
        <f t="shared" si="10"/>
        <v>ΑΤΤΙΚΗΣ - ΠΕΡΑΜΑΤΟΣ</v>
      </c>
      <c r="N73" s="197">
        <f t="shared" si="12"/>
        <v>14408</v>
      </c>
      <c r="O73" s="197" t="str">
        <f t="shared" si="13"/>
        <v>Περάματος</v>
      </c>
    </row>
    <row r="74" spans="1:15" x14ac:dyDescent="0.25">
      <c r="A74" s="199">
        <v>73</v>
      </c>
      <c r="B74" t="s">
        <v>40</v>
      </c>
      <c r="C74" t="s">
        <v>370</v>
      </c>
      <c r="D74" t="s">
        <v>97</v>
      </c>
      <c r="E74" t="str">
        <f t="shared" si="7"/>
        <v xml:space="preserve">ΑΤΤΙΚΗΣ - ΠΕΡΙΣΤΕΡΙΟΥ, </v>
      </c>
      <c r="F74" s="225" t="s">
        <v>647</v>
      </c>
      <c r="G74" s="225">
        <v>14410</v>
      </c>
      <c r="H74" t="str">
        <f>IFERROR(INDEX(DimosNaiOxi,MATCH(ΤΚ!E74,DimosNai,0)),"")</f>
        <v/>
      </c>
      <c r="I74" t="str">
        <f>LOOKUP(B74,ΠΕΡΙΦΕΡΕΙΑ!$A$2:$A$14,ΠΕΡΙΦΕΡΕΙΑ!$B$2:$B$14)</f>
        <v>Ολική</v>
      </c>
      <c r="J74">
        <f t="shared" si="11"/>
        <v>73</v>
      </c>
      <c r="K74" s="199">
        <f t="shared" si="8"/>
        <v>73</v>
      </c>
      <c r="L74" t="str">
        <f t="shared" si="9"/>
        <v>ΑΤΤΙΚΗΣ</v>
      </c>
      <c r="M74" t="str">
        <f t="shared" si="10"/>
        <v>ΑΤΤΙΚΗΣ - ΠΕΡΙΣΤΕΡΙΟΥ</v>
      </c>
      <c r="N74" s="197">
        <f t="shared" si="12"/>
        <v>14410</v>
      </c>
      <c r="O74" s="197" t="str">
        <f t="shared" si="13"/>
        <v>Περιστερίου</v>
      </c>
    </row>
    <row r="75" spans="1:15" x14ac:dyDescent="0.25">
      <c r="A75" s="199">
        <v>74</v>
      </c>
      <c r="B75" t="s">
        <v>40</v>
      </c>
      <c r="C75" t="s">
        <v>370</v>
      </c>
      <c r="D75" t="s">
        <v>98</v>
      </c>
      <c r="E75" t="str">
        <f t="shared" si="7"/>
        <v xml:space="preserve">ΑΤΤΙΚΗΣ - ΠΕΤΡΟΥΠΟΛΕΩΣ, </v>
      </c>
      <c r="F75" s="225" t="s">
        <v>648</v>
      </c>
      <c r="G75" s="225">
        <v>14412</v>
      </c>
      <c r="H75" t="str">
        <f>IFERROR(INDEX(DimosNaiOxi,MATCH(ΤΚ!E75,DimosNai,0)),"")</f>
        <v/>
      </c>
      <c r="I75" t="str">
        <f>LOOKUP(B75,ΠΕΡΙΦΕΡΕΙΑ!$A$2:$A$14,ΠΕΡΙΦΕΡΕΙΑ!$B$2:$B$14)</f>
        <v>Ολική</v>
      </c>
      <c r="J75">
        <f t="shared" si="11"/>
        <v>74</v>
      </c>
      <c r="K75" s="199">
        <f t="shared" si="8"/>
        <v>74</v>
      </c>
      <c r="L75" t="str">
        <f t="shared" si="9"/>
        <v>ΑΤΤΙΚΗΣ</v>
      </c>
      <c r="M75" t="str">
        <f t="shared" si="10"/>
        <v>ΑΤΤΙΚΗΣ - ΠΕΤΡΟΥΠΟΛΕΩΣ</v>
      </c>
      <c r="N75" s="197">
        <f t="shared" si="12"/>
        <v>14412</v>
      </c>
      <c r="O75" s="197" t="str">
        <f t="shared" si="13"/>
        <v>Πετρούπολης</v>
      </c>
    </row>
    <row r="76" spans="1:15" x14ac:dyDescent="0.25">
      <c r="A76" s="199">
        <v>75</v>
      </c>
      <c r="B76" t="s">
        <v>40</v>
      </c>
      <c r="C76" t="s">
        <v>372</v>
      </c>
      <c r="D76" t="s">
        <v>111</v>
      </c>
      <c r="E76" t="str">
        <f t="shared" si="7"/>
        <v xml:space="preserve">ΑΤΤΙΚΗΣ - ΠΟΡΟΥ, </v>
      </c>
      <c r="F76" s="225" t="s">
        <v>649</v>
      </c>
      <c r="G76" s="225">
        <v>14372</v>
      </c>
      <c r="H76" t="str">
        <f>IFERROR(INDEX(DimosNaiOxi,MATCH(ΤΚ!E76,DimosNai,0)),"")</f>
        <v/>
      </c>
      <c r="I76" t="str">
        <f>LOOKUP(B76,ΠΕΡΙΦΕΡΕΙΑ!$A$2:$A$14,ΠΕΡΙΦΕΡΕΙΑ!$B$2:$B$14)</f>
        <v>Ολική</v>
      </c>
      <c r="J76">
        <f t="shared" si="11"/>
        <v>75</v>
      </c>
      <c r="K76" s="199">
        <f t="shared" si="8"/>
        <v>75</v>
      </c>
      <c r="L76" t="str">
        <f t="shared" si="9"/>
        <v>ΑΤΤΙΚΗΣ</v>
      </c>
      <c r="M76" t="str">
        <f t="shared" si="10"/>
        <v>ΑΤΤΙΚΗΣ - ΠΟΡΟΥ</v>
      </c>
      <c r="N76" s="197">
        <f t="shared" si="12"/>
        <v>14372</v>
      </c>
      <c r="O76" s="197" t="str">
        <f t="shared" si="13"/>
        <v>Πόρου</v>
      </c>
    </row>
    <row r="77" spans="1:15" x14ac:dyDescent="0.25">
      <c r="A77" s="199">
        <v>76</v>
      </c>
      <c r="B77" t="s">
        <v>40</v>
      </c>
      <c r="C77" t="s">
        <v>367</v>
      </c>
      <c r="D77" t="s">
        <v>72</v>
      </c>
      <c r="E77" t="str">
        <f t="shared" si="7"/>
        <v xml:space="preserve">ΑΤΤΙΚΗΣ - ΡΑΦΗΝΑΣ – ΠΙΚΕΡΜΙΟΥ, </v>
      </c>
      <c r="F77" s="225" t="s">
        <v>650</v>
      </c>
      <c r="G77" s="225">
        <v>14434</v>
      </c>
      <c r="H77" t="str">
        <f>IFERROR(INDEX(DimosNaiOxi,MATCH(ΤΚ!E77,DimosNai,0)),"")</f>
        <v/>
      </c>
      <c r="I77" t="str">
        <f>LOOKUP(B77,ΠΕΡΙΦΕΡΕΙΑ!$A$2:$A$14,ΠΕΡΙΦΕΡΕΙΑ!$B$2:$B$14)</f>
        <v>Ολική</v>
      </c>
      <c r="J77">
        <f t="shared" si="11"/>
        <v>76</v>
      </c>
      <c r="K77" s="199">
        <f t="shared" si="8"/>
        <v>76</v>
      </c>
      <c r="L77" t="str">
        <f t="shared" si="9"/>
        <v>ΑΤΤΙΚΗΣ</v>
      </c>
      <c r="M77" t="str">
        <f t="shared" si="10"/>
        <v>ΑΤΤΙΚΗΣ - ΡΑΦΗΝΑΣ – ΠΙΚΕΡΜΙΟΥ</v>
      </c>
      <c r="N77" s="197">
        <f t="shared" si="12"/>
        <v>14434</v>
      </c>
      <c r="O77" s="197" t="str">
        <f t="shared" si="13"/>
        <v>Ραφήνας - Πικερμίου</v>
      </c>
    </row>
    <row r="78" spans="1:15" x14ac:dyDescent="0.25">
      <c r="A78" s="199">
        <v>77</v>
      </c>
      <c r="B78" t="s">
        <v>40</v>
      </c>
      <c r="C78" t="s">
        <v>372</v>
      </c>
      <c r="D78" t="s">
        <v>112</v>
      </c>
      <c r="E78" t="str">
        <f t="shared" si="7"/>
        <v xml:space="preserve">ΑΤΤΙΚΗΣ - ΣΑΛΑΜΙΝΟΣ, </v>
      </c>
      <c r="F78" s="225" t="s">
        <v>651</v>
      </c>
      <c r="G78" s="225">
        <v>14446</v>
      </c>
      <c r="H78" t="str">
        <f>IFERROR(INDEX(DimosNaiOxi,MATCH(ΤΚ!E78,DimosNai,0)),"")</f>
        <v/>
      </c>
      <c r="I78" t="str">
        <f>LOOKUP(B78,ΠΕΡΙΦΕΡΕΙΑ!$A$2:$A$14,ΠΕΡΙΦΕΡΕΙΑ!$B$2:$B$14)</f>
        <v>Ολική</v>
      </c>
      <c r="J78">
        <f t="shared" si="11"/>
        <v>77</v>
      </c>
      <c r="K78" s="199">
        <f t="shared" si="8"/>
        <v>77</v>
      </c>
      <c r="L78" t="str">
        <f t="shared" si="9"/>
        <v>ΑΤΤΙΚΗΣ</v>
      </c>
      <c r="M78" t="str">
        <f t="shared" si="10"/>
        <v>ΑΤΤΙΚΗΣ - ΣΑΛΑΜΙΝΟΣ</v>
      </c>
      <c r="N78" s="197">
        <f t="shared" si="12"/>
        <v>14446</v>
      </c>
      <c r="O78" s="197" t="str">
        <f t="shared" si="13"/>
        <v>Σαλαμίνας</v>
      </c>
    </row>
    <row r="79" spans="1:15" x14ac:dyDescent="0.25">
      <c r="A79" s="199">
        <v>78</v>
      </c>
      <c r="B79" t="s">
        <v>40</v>
      </c>
      <c r="C79" t="s">
        <v>367</v>
      </c>
      <c r="D79" t="s">
        <v>73</v>
      </c>
      <c r="E79" t="str">
        <f t="shared" si="7"/>
        <v xml:space="preserve">ΑΤΤΙΚΗΣ - ΣΑΡΩΝΙΚΟΥ, </v>
      </c>
      <c r="F79" s="225" t="s">
        <v>652</v>
      </c>
      <c r="G79" s="225">
        <v>14450</v>
      </c>
      <c r="H79" t="str">
        <f>IFERROR(INDEX(DimosNaiOxi,MATCH(ΤΚ!E79,DimosNai,0)),"")</f>
        <v/>
      </c>
      <c r="I79" t="str">
        <f>LOOKUP(B79,ΠΕΡΙΦΕΡΕΙΑ!$A$2:$A$14,ΠΕΡΙΦΕΡΕΙΑ!$B$2:$B$14)</f>
        <v>Ολική</v>
      </c>
      <c r="J79">
        <f t="shared" si="11"/>
        <v>78</v>
      </c>
      <c r="K79" s="199">
        <f t="shared" si="8"/>
        <v>78</v>
      </c>
      <c r="L79" t="str">
        <f t="shared" si="9"/>
        <v>ΑΤΤΙΚΗΣ</v>
      </c>
      <c r="M79" t="str">
        <f t="shared" si="10"/>
        <v>ΑΤΤΙΚΗΣ - ΣΑΡΩΝΙΚΟΥ</v>
      </c>
      <c r="N79" s="197">
        <f t="shared" si="12"/>
        <v>14450</v>
      </c>
      <c r="O79" s="197" t="str">
        <f t="shared" si="13"/>
        <v>Σαρωνικού</v>
      </c>
    </row>
    <row r="80" spans="1:15" x14ac:dyDescent="0.25">
      <c r="A80" s="199">
        <v>79</v>
      </c>
      <c r="B80" t="s">
        <v>40</v>
      </c>
      <c r="C80" t="s">
        <v>367</v>
      </c>
      <c r="D80" t="s">
        <v>74</v>
      </c>
      <c r="E80" t="str">
        <f t="shared" si="7"/>
        <v xml:space="preserve">ΑΤΤΙΚΗΣ - ΣΠΑΤΩΝ – ΑΡΤΕΜΙΔΟΣ, </v>
      </c>
      <c r="F80" s="225" t="s">
        <v>653</v>
      </c>
      <c r="G80" s="225">
        <v>14484</v>
      </c>
      <c r="H80" t="str">
        <f>IFERROR(INDEX(DimosNaiOxi,MATCH(ΤΚ!E80,DimosNai,0)),"")</f>
        <v/>
      </c>
      <c r="I80" t="str">
        <f>LOOKUP(B80,ΠΕΡΙΦΕΡΕΙΑ!$A$2:$A$14,ΠΕΡΙΦΕΡΕΙΑ!$B$2:$B$14)</f>
        <v>Ολική</v>
      </c>
      <c r="J80">
        <f t="shared" si="11"/>
        <v>79</v>
      </c>
      <c r="K80" s="199">
        <f t="shared" si="8"/>
        <v>79</v>
      </c>
      <c r="L80" t="str">
        <f t="shared" si="9"/>
        <v>ΑΤΤΙΚΗΣ</v>
      </c>
      <c r="M80" t="str">
        <f t="shared" si="10"/>
        <v>ΑΤΤΙΚΗΣ - ΣΠΑΤΩΝ – ΑΡΤΕΜΙΔΟΣ</v>
      </c>
      <c r="N80" s="197">
        <f t="shared" si="12"/>
        <v>14484</v>
      </c>
      <c r="O80" s="197" t="str">
        <f t="shared" si="13"/>
        <v>Σπάτων - Αρτέμιδος</v>
      </c>
    </row>
    <row r="81" spans="1:15" x14ac:dyDescent="0.25">
      <c r="A81" s="199">
        <v>80</v>
      </c>
      <c r="B81" t="s">
        <v>40</v>
      </c>
      <c r="C81" t="s">
        <v>372</v>
      </c>
      <c r="D81" t="s">
        <v>113</v>
      </c>
      <c r="E81" t="str">
        <f t="shared" si="7"/>
        <v xml:space="preserve">ΑΤΤΙΚΗΣ - ΣΠΕΤΣΩΝ, </v>
      </c>
      <c r="F81" s="225" t="s">
        <v>654</v>
      </c>
      <c r="G81" s="225">
        <v>14486</v>
      </c>
      <c r="H81" t="str">
        <f>IFERROR(INDEX(DimosNaiOxi,MATCH(ΤΚ!E81,DimosNai,0)),"")</f>
        <v/>
      </c>
      <c r="I81" t="str">
        <f>LOOKUP(B81,ΠΕΡΙΦΕΡΕΙΑ!$A$2:$A$14,ΠΕΡΙΦΕΡΕΙΑ!$B$2:$B$14)</f>
        <v>Ολική</v>
      </c>
      <c r="J81">
        <f t="shared" si="11"/>
        <v>80</v>
      </c>
      <c r="K81" s="199">
        <f t="shared" si="8"/>
        <v>80</v>
      </c>
      <c r="L81" t="str">
        <f t="shared" si="9"/>
        <v>ΑΤΤΙΚΗΣ</v>
      </c>
      <c r="M81" t="str">
        <f t="shared" si="10"/>
        <v>ΑΤΤΙΚΗΣ - ΣΠΕΤΣΩΝ</v>
      </c>
      <c r="N81" s="197">
        <f t="shared" si="12"/>
        <v>14486</v>
      </c>
      <c r="O81" s="197" t="str">
        <f t="shared" si="13"/>
        <v>Σπετσών</v>
      </c>
    </row>
    <row r="82" spans="1:15" x14ac:dyDescent="0.25">
      <c r="A82" s="199">
        <v>81</v>
      </c>
      <c r="B82" t="s">
        <v>40</v>
      </c>
      <c r="C82" t="s">
        <v>372</v>
      </c>
      <c r="D82" t="s">
        <v>114</v>
      </c>
      <c r="E82" t="str">
        <f t="shared" si="7"/>
        <v xml:space="preserve">ΑΤΤΙΚΗΣ - ΤΡΟΙΖΗΝΙΑΣ, </v>
      </c>
      <c r="F82" s="225" t="s">
        <v>655</v>
      </c>
      <c r="G82" s="225">
        <v>14508</v>
      </c>
      <c r="H82" t="str">
        <f>IFERROR(INDEX(DimosNaiOxi,MATCH(ΤΚ!E82,DimosNai,0)),"")</f>
        <v/>
      </c>
      <c r="I82" t="str">
        <f>LOOKUP(B82,ΠΕΡΙΦΕΡΕΙΑ!$A$2:$A$14,ΠΕΡΙΦΕΡΕΙΑ!$B$2:$B$14)</f>
        <v>Ολική</v>
      </c>
      <c r="J82">
        <f t="shared" si="11"/>
        <v>81</v>
      </c>
      <c r="K82" s="199">
        <f t="shared" si="8"/>
        <v>81</v>
      </c>
      <c r="L82" t="str">
        <f t="shared" si="9"/>
        <v>ΑΤΤΙΚΗΣ</v>
      </c>
      <c r="M82" t="str">
        <f t="shared" si="10"/>
        <v>ΑΤΤΙΚΗΣ - ΤΡΟΙΖΗΝΙΑΣ</v>
      </c>
      <c r="N82" s="197">
        <f t="shared" si="12"/>
        <v>14508</v>
      </c>
      <c r="O82" s="197" t="str">
        <f t="shared" si="13"/>
        <v>Τροιζηνίας</v>
      </c>
    </row>
    <row r="83" spans="1:15" x14ac:dyDescent="0.25">
      <c r="A83" s="199">
        <v>82</v>
      </c>
      <c r="B83" t="s">
        <v>40</v>
      </c>
      <c r="C83" t="s">
        <v>372</v>
      </c>
      <c r="D83" t="s">
        <v>115</v>
      </c>
      <c r="E83" t="str">
        <f t="shared" si="7"/>
        <v xml:space="preserve">ΑΤΤΙΚΗΣ - ΥΔΡΑΣ, </v>
      </c>
      <c r="F83" s="225" t="s">
        <v>656</v>
      </c>
      <c r="G83" s="225">
        <v>13916</v>
      </c>
      <c r="H83" t="str">
        <f>IFERROR(INDEX(DimosNaiOxi,MATCH(ΤΚ!E83,DimosNai,0)),"")</f>
        <v/>
      </c>
      <c r="I83" t="str">
        <f>LOOKUP(B83,ΠΕΡΙΦΕΡΕΙΑ!$A$2:$A$14,ΠΕΡΙΦΕΡΕΙΑ!$B$2:$B$14)</f>
        <v>Ολική</v>
      </c>
      <c r="J83">
        <f t="shared" si="11"/>
        <v>82</v>
      </c>
      <c r="K83" s="199">
        <f t="shared" si="8"/>
        <v>82</v>
      </c>
      <c r="L83" t="str">
        <f t="shared" si="9"/>
        <v>ΑΤΤΙΚΗΣ</v>
      </c>
      <c r="M83" t="str">
        <f t="shared" si="10"/>
        <v>ΑΤΤΙΚΗΣ - ΥΔΡΑΣ</v>
      </c>
      <c r="N83" s="197">
        <f t="shared" si="12"/>
        <v>13916</v>
      </c>
      <c r="O83" s="197" t="str">
        <f t="shared" si="13"/>
        <v>Ύδρας</v>
      </c>
    </row>
    <row r="84" spans="1:15" x14ac:dyDescent="0.25">
      <c r="A84" s="199">
        <v>83</v>
      </c>
      <c r="B84" t="s">
        <v>40</v>
      </c>
      <c r="C84" t="s">
        <v>371</v>
      </c>
      <c r="D84" t="s">
        <v>107</v>
      </c>
      <c r="E84" t="str">
        <f t="shared" si="7"/>
        <v xml:space="preserve">ΑΤΤΙΚΗΣ - ΦΙΛΑΔΕΛΦΕΙΑΣ – ΧΑΛΚΗΔΟΝΟΣ, </v>
      </c>
      <c r="F84" s="225" t="s">
        <v>657</v>
      </c>
      <c r="G84" s="225">
        <v>14518</v>
      </c>
      <c r="H84" t="str">
        <f>IFERROR(INDEX(DimosNaiOxi,MATCH(ΤΚ!E84,DimosNai,0)),"")</f>
        <v/>
      </c>
      <c r="I84" t="str">
        <f>LOOKUP(B84,ΠΕΡΙΦΕΡΕΙΑ!$A$2:$A$14,ΠΕΡΙΦΕΡΕΙΑ!$B$2:$B$14)</f>
        <v>Ολική</v>
      </c>
      <c r="J84">
        <f t="shared" si="11"/>
        <v>83</v>
      </c>
      <c r="K84" s="199">
        <f t="shared" si="8"/>
        <v>83</v>
      </c>
      <c r="L84" t="str">
        <f t="shared" si="9"/>
        <v>ΑΤΤΙΚΗΣ</v>
      </c>
      <c r="M84" t="str">
        <f t="shared" si="10"/>
        <v>ΑΤΤΙΚΗΣ - ΦΙΛΑΔΕΛΦΕΙΑΣ – ΧΑΛΚΗΔΟΝΟΣ</v>
      </c>
      <c r="N84" s="197">
        <f t="shared" si="12"/>
        <v>14518</v>
      </c>
      <c r="O84" s="197" t="str">
        <f t="shared" si="13"/>
        <v>Φιλαδελφείας - Χαλκηδόνος</v>
      </c>
    </row>
    <row r="85" spans="1:15" x14ac:dyDescent="0.25">
      <c r="A85" s="199">
        <v>84</v>
      </c>
      <c r="B85" t="s">
        <v>40</v>
      </c>
      <c r="C85" t="s">
        <v>368</v>
      </c>
      <c r="D85" t="s">
        <v>86</v>
      </c>
      <c r="E85" t="str">
        <f t="shared" si="7"/>
        <v xml:space="preserve">ΑΤΤΙΚΗΣ - ΦΙΛΟΘΕΗΣ – ΨΥΧΙΚΟΥ, </v>
      </c>
      <c r="F85" s="225" t="s">
        <v>658</v>
      </c>
      <c r="G85" s="225">
        <v>14522</v>
      </c>
      <c r="H85" t="str">
        <f>IFERROR(INDEX(DimosNaiOxi,MATCH(ΤΚ!E85,DimosNai,0)),"")</f>
        <v/>
      </c>
      <c r="I85" t="str">
        <f>LOOKUP(B85,ΠΕΡΙΦΕΡΕΙΑ!$A$2:$A$14,ΠΕΡΙΦΕΡΕΙΑ!$B$2:$B$14)</f>
        <v>Ολική</v>
      </c>
      <c r="J85">
        <f t="shared" si="11"/>
        <v>84</v>
      </c>
      <c r="K85" s="199">
        <f t="shared" si="8"/>
        <v>84</v>
      </c>
      <c r="L85" t="str">
        <f t="shared" si="9"/>
        <v>ΑΤΤΙΚΗΣ</v>
      </c>
      <c r="M85" t="str">
        <f t="shared" si="10"/>
        <v>ΑΤΤΙΚΗΣ - ΦΙΛΟΘΕΗΣ – ΨΥΧΙΚΟΥ</v>
      </c>
      <c r="N85" s="197">
        <f t="shared" si="12"/>
        <v>14522</v>
      </c>
      <c r="O85" s="197" t="str">
        <f t="shared" si="13"/>
        <v>Φιλοθέης - Ψυχικού</v>
      </c>
    </row>
    <row r="86" spans="1:15" x14ac:dyDescent="0.25">
      <c r="A86" s="199">
        <v>85</v>
      </c>
      <c r="B86" t="s">
        <v>40</v>
      </c>
      <c r="C86" t="s">
        <v>369</v>
      </c>
      <c r="D86" t="s">
        <v>92</v>
      </c>
      <c r="E86" t="str">
        <f t="shared" si="7"/>
        <v xml:space="preserve">ΑΤΤΙΚΗΣ - ΦΥΛΗΣ, </v>
      </c>
      <c r="F86" s="225" t="s">
        <v>659</v>
      </c>
      <c r="G86" s="225">
        <v>14530</v>
      </c>
      <c r="H86" t="str">
        <f>IFERROR(INDEX(DimosNaiOxi,MATCH(ΤΚ!E86,DimosNai,0)),"")</f>
        <v/>
      </c>
      <c r="I86" t="str">
        <f>LOOKUP(B86,ΠΕΡΙΦΕΡΕΙΑ!$A$2:$A$14,ΠΕΡΙΦΕΡΕΙΑ!$B$2:$B$14)</f>
        <v>Ολική</v>
      </c>
      <c r="J86">
        <f t="shared" si="11"/>
        <v>85</v>
      </c>
      <c r="K86" s="199">
        <f t="shared" si="8"/>
        <v>85</v>
      </c>
      <c r="L86" t="str">
        <f t="shared" si="9"/>
        <v>ΑΤΤΙΚΗΣ</v>
      </c>
      <c r="M86" t="str">
        <f t="shared" si="10"/>
        <v>ΑΤΤΙΚΗΣ - ΦΥΛΗΣ</v>
      </c>
      <c r="N86" s="197">
        <f t="shared" si="12"/>
        <v>14530</v>
      </c>
      <c r="O86" s="197" t="str">
        <f t="shared" si="13"/>
        <v>Φυλής</v>
      </c>
    </row>
    <row r="87" spans="1:15" x14ac:dyDescent="0.25">
      <c r="A87" s="199">
        <v>86</v>
      </c>
      <c r="B87" t="s">
        <v>40</v>
      </c>
      <c r="C87" t="s">
        <v>370</v>
      </c>
      <c r="D87" t="s">
        <v>99</v>
      </c>
      <c r="E87" t="str">
        <f t="shared" si="7"/>
        <v xml:space="preserve">ΑΤΤΙΚΗΣ - ΧΑΪΔΑΡΙΟΥ, </v>
      </c>
      <c r="F87" s="225" t="s">
        <v>660</v>
      </c>
      <c r="G87" s="225">
        <v>14544</v>
      </c>
      <c r="H87" t="str">
        <f>IFERROR(INDEX(DimosNaiOxi,MATCH(ΤΚ!E87,DimosNai,0)),"")</f>
        <v/>
      </c>
      <c r="I87" t="str">
        <f>LOOKUP(B87,ΠΕΡΙΦΕΡΕΙΑ!$A$2:$A$14,ΠΕΡΙΦΕΡΕΙΑ!$B$2:$B$14)</f>
        <v>Ολική</v>
      </c>
      <c r="J87">
        <f t="shared" si="11"/>
        <v>86</v>
      </c>
      <c r="K87" s="199">
        <f t="shared" si="8"/>
        <v>86</v>
      </c>
      <c r="L87" t="str">
        <f t="shared" si="9"/>
        <v>ΑΤΤΙΚΗΣ</v>
      </c>
      <c r="M87" t="str">
        <f t="shared" si="10"/>
        <v>ΑΤΤΙΚΗΣ - ΧΑΪΔΑΡΙΟΥ</v>
      </c>
      <c r="N87" s="197">
        <f t="shared" si="12"/>
        <v>14544</v>
      </c>
      <c r="O87" s="197" t="str">
        <f t="shared" si="13"/>
        <v>Χαϊδαρίου</v>
      </c>
    </row>
    <row r="88" spans="1:15" x14ac:dyDescent="0.25">
      <c r="A88" s="199">
        <v>87</v>
      </c>
      <c r="B88" t="s">
        <v>40</v>
      </c>
      <c r="C88" t="s">
        <v>368</v>
      </c>
      <c r="D88" t="s">
        <v>87</v>
      </c>
      <c r="E88" t="str">
        <f t="shared" si="7"/>
        <v xml:space="preserve">ΑΤΤΙΚΗΣ - ΧΑΛΑΝΔΡΙΟΥ, </v>
      </c>
      <c r="F88" s="225" t="s">
        <v>661</v>
      </c>
      <c r="G88" s="225">
        <v>14536</v>
      </c>
      <c r="H88" t="str">
        <f>IFERROR(INDEX(DimosNaiOxi,MATCH(ΤΚ!E88,DimosNai,0)),"")</f>
        <v/>
      </c>
      <c r="I88" t="str">
        <f>LOOKUP(B88,ΠΕΡΙΦΕΡΕΙΑ!$A$2:$A$14,ΠΕΡΙΦΕΡΕΙΑ!$B$2:$B$14)</f>
        <v>Ολική</v>
      </c>
      <c r="J88">
        <f t="shared" si="11"/>
        <v>87</v>
      </c>
      <c r="K88" s="199">
        <f t="shared" si="8"/>
        <v>87</v>
      </c>
      <c r="L88" t="str">
        <f t="shared" si="9"/>
        <v>ΑΤΤΙΚΗΣ</v>
      </c>
      <c r="M88" t="str">
        <f t="shared" si="10"/>
        <v>ΑΤΤΙΚΗΣ - ΧΑΛΑΝΔΡΙΟΥ</v>
      </c>
      <c r="N88" s="197">
        <f t="shared" si="12"/>
        <v>14536</v>
      </c>
      <c r="O88" s="197" t="str">
        <f t="shared" si="13"/>
        <v>Χαλανδρίου</v>
      </c>
    </row>
    <row r="89" spans="1:15" x14ac:dyDescent="0.25">
      <c r="A89" s="199">
        <v>88</v>
      </c>
      <c r="B89" t="s">
        <v>40</v>
      </c>
      <c r="C89" t="s">
        <v>367</v>
      </c>
      <c r="D89" t="s">
        <v>75</v>
      </c>
      <c r="E89" t="str">
        <f t="shared" si="7"/>
        <v xml:space="preserve">ΑΤΤΙΚΗΣ - ΩΡΩΠΟΥ, </v>
      </c>
      <c r="F89" s="225" t="s">
        <v>662</v>
      </c>
      <c r="G89" s="225">
        <v>14552</v>
      </c>
      <c r="H89" t="str">
        <f>IFERROR(INDEX(DimosNaiOxi,MATCH(ΤΚ!E89,DimosNai,0)),"")</f>
        <v/>
      </c>
      <c r="I89" t="str">
        <f>LOOKUP(B89,ΠΕΡΙΦΕΡΕΙΑ!$A$2:$A$14,ΠΕΡΙΦΕΡΕΙΑ!$B$2:$B$14)</f>
        <v>Ολική</v>
      </c>
      <c r="J89">
        <f t="shared" si="11"/>
        <v>88</v>
      </c>
      <c r="K89" s="199">
        <f t="shared" si="8"/>
        <v>88</v>
      </c>
      <c r="L89" t="str">
        <f t="shared" si="9"/>
        <v>ΑΤΤΙΚΗΣ</v>
      </c>
      <c r="M89" t="str">
        <f t="shared" si="10"/>
        <v>ΑΤΤΙΚΗΣ - ΩΡΩΠΟΥ</v>
      </c>
      <c r="N89" s="197">
        <f t="shared" si="12"/>
        <v>14552</v>
      </c>
      <c r="O89" s="197" t="str">
        <f t="shared" si="13"/>
        <v>Ωρωπού</v>
      </c>
    </row>
    <row r="90" spans="1:15" x14ac:dyDescent="0.25">
      <c r="A90" s="199">
        <v>89</v>
      </c>
      <c r="B90" t="s">
        <v>404</v>
      </c>
      <c r="C90" t="s">
        <v>133</v>
      </c>
      <c r="D90" t="s">
        <v>132</v>
      </c>
      <c r="E90" t="str">
        <f t="shared" si="7"/>
        <v xml:space="preserve">ΒΟΡΕΙΟΥ ΑΙΓΑΙΟΥ - ΑΓΙΟΥ ΕΥΣΤΡΑΤΙΟΥ, </v>
      </c>
      <c r="F90" s="225" t="s">
        <v>663</v>
      </c>
      <c r="G90" s="225">
        <v>13930</v>
      </c>
      <c r="H90" t="str">
        <f>IFERROR(INDEX(DimosNaiOxi,MATCH(ΤΚ!E90,DimosNai,0)),"")</f>
        <v/>
      </c>
      <c r="I90" t="str">
        <f>LOOKUP(B90,ΠΕΡΙΦΕΡΕΙΑ!$A$2:$A$14,ΠΕΡΙΦΕΡΕΙΑ!$B$2:$B$14)</f>
        <v>Μερική</v>
      </c>
      <c r="J90" t="str">
        <f t="shared" si="11"/>
        <v/>
      </c>
      <c r="K90" s="199">
        <f t="shared" si="8"/>
        <v>91</v>
      </c>
      <c r="L90" t="str">
        <f t="shared" si="9"/>
        <v>ΒΟΡΕΙΟΥ ΑΙΓΑΙΟΥ</v>
      </c>
      <c r="M90" t="str">
        <f t="shared" si="10"/>
        <v>ΒΟΡΕΙΟΥ ΑΙΓΑΙΟΥ - ΛΕΣΒΟΥ</v>
      </c>
      <c r="N90" s="197">
        <f t="shared" si="12"/>
        <v>14240</v>
      </c>
      <c r="O90" s="197" t="str">
        <f t="shared" si="13"/>
        <v>Λέσβου</v>
      </c>
    </row>
    <row r="91" spans="1:15" x14ac:dyDescent="0.25">
      <c r="A91" s="199">
        <v>90</v>
      </c>
      <c r="B91" t="s">
        <v>404</v>
      </c>
      <c r="C91" t="s">
        <v>129</v>
      </c>
      <c r="D91" t="s">
        <v>129</v>
      </c>
      <c r="E91" t="str">
        <f t="shared" si="7"/>
        <v xml:space="preserve">ΒΟΡΕΙΟΥ ΑΙΓΑΙΟΥ - ΙΚΑΡΙΑΣ, </v>
      </c>
      <c r="F91" s="225" t="s">
        <v>664</v>
      </c>
      <c r="G91" s="225">
        <v>14152</v>
      </c>
      <c r="H91" t="str">
        <f>IFERROR(INDEX(DimosNaiOxi,MATCH(ΤΚ!E91,DimosNai,0)),"")</f>
        <v/>
      </c>
      <c r="I91" t="str">
        <f>LOOKUP(B91,ΠΕΡΙΦΕΡΕΙΑ!$A$2:$A$14,ΠΕΡΙΦΕΡΕΙΑ!$B$2:$B$14)</f>
        <v>Μερική</v>
      </c>
      <c r="J91" t="str">
        <f t="shared" si="11"/>
        <v/>
      </c>
      <c r="K91" s="199">
        <f t="shared" si="8"/>
        <v>94</v>
      </c>
      <c r="L91" t="str">
        <f t="shared" si="9"/>
        <v>ΒΟΡΕΙΟΥ ΑΙΓΑΙΟΥ</v>
      </c>
      <c r="M91" t="str">
        <f t="shared" si="10"/>
        <v>ΒΟΡΕΙΟΥ ΑΙΓΑΙΟΥ - ΣΑΜΟΥ</v>
      </c>
      <c r="N91" s="197">
        <f t="shared" si="12"/>
        <v>14438</v>
      </c>
      <c r="O91" s="197" t="str">
        <f t="shared" si="13"/>
        <v>Σάμου</v>
      </c>
    </row>
    <row r="92" spans="1:15" x14ac:dyDescent="0.25">
      <c r="A92" s="199">
        <v>91</v>
      </c>
      <c r="B92" t="s">
        <v>404</v>
      </c>
      <c r="C92" t="s">
        <v>131</v>
      </c>
      <c r="D92" t="s">
        <v>131</v>
      </c>
      <c r="E92" t="str">
        <f t="shared" si="7"/>
        <v xml:space="preserve">ΒΟΡΕΙΟΥ ΑΙΓΑΙΟΥ - ΛΕΣΒΟΥ, </v>
      </c>
      <c r="F92" s="225" t="s">
        <v>665</v>
      </c>
      <c r="G92" s="225">
        <v>14240</v>
      </c>
      <c r="H92" t="str">
        <f>IFERROR(INDEX(DimosNaiOxi,MATCH(ΤΚ!E92,DimosNai,0)),"")</f>
        <v>ΝΑΙ</v>
      </c>
      <c r="I92" t="str">
        <f>LOOKUP(B92,ΠΕΡΙΦΕΡΕΙΑ!$A$2:$A$14,ΠΕΡΙΦΕΡΕΙΑ!$B$2:$B$14)</f>
        <v>Μερική</v>
      </c>
      <c r="J92">
        <f t="shared" si="11"/>
        <v>91</v>
      </c>
      <c r="K92" s="199">
        <f t="shared" si="8"/>
        <v>96</v>
      </c>
      <c r="L92" t="str">
        <f t="shared" si="9"/>
        <v>ΒΟΡΕΙΟΥ ΑΙΓΑΙΟΥ</v>
      </c>
      <c r="M92" t="str">
        <f t="shared" si="10"/>
        <v>ΒΟΡΕΙΟΥ ΑΙΓΑΙΟΥ - ΧΙΟΥ</v>
      </c>
      <c r="N92" s="197">
        <f t="shared" si="12"/>
        <v>14534</v>
      </c>
      <c r="O92" s="197" t="str">
        <f t="shared" si="13"/>
        <v>Χίου</v>
      </c>
    </row>
    <row r="93" spans="1:15" x14ac:dyDescent="0.25">
      <c r="A93" s="199">
        <v>92</v>
      </c>
      <c r="B93" t="s">
        <v>404</v>
      </c>
      <c r="C93" t="s">
        <v>133</v>
      </c>
      <c r="D93" t="s">
        <v>133</v>
      </c>
      <c r="E93" t="str">
        <f t="shared" si="7"/>
        <v xml:space="preserve">ΒΟΡΕΙΟΥ ΑΙΓΑΙΟΥ - ΛΗΜΝΟΥ, </v>
      </c>
      <c r="F93" s="225" t="s">
        <v>666</v>
      </c>
      <c r="G93" s="225">
        <v>14242</v>
      </c>
      <c r="H93" t="str">
        <f>IFERROR(INDEX(DimosNaiOxi,MATCH(ΤΚ!E93,DimosNai,0)),"")</f>
        <v/>
      </c>
      <c r="I93" t="str">
        <f>LOOKUP(B93,ΠΕΡΙΦΕΡΕΙΑ!$A$2:$A$14,ΠΕΡΙΦΕΡΕΙΑ!$B$2:$B$14)</f>
        <v>Μερική</v>
      </c>
      <c r="J93" t="str">
        <f t="shared" si="11"/>
        <v/>
      </c>
      <c r="K93" s="199">
        <f t="shared" si="8"/>
        <v>98</v>
      </c>
      <c r="L93" t="str">
        <f t="shared" si="9"/>
        <v>ΔΥΤΙΚΗΣ ΕΛΛΑΔΑΣ</v>
      </c>
      <c r="M93" t="str">
        <f t="shared" si="10"/>
        <v>ΔΥΤΙΚΗΣ ΕΛΛΑΔΑΣ - ΑΓΡΙΝΙΟΥ</v>
      </c>
      <c r="N93" s="197">
        <f t="shared" si="12"/>
        <v>13944</v>
      </c>
      <c r="O93" s="197" t="str">
        <f t="shared" si="13"/>
        <v>Αγρινίου</v>
      </c>
    </row>
    <row r="94" spans="1:15" x14ac:dyDescent="0.25">
      <c r="A94" s="199">
        <v>93</v>
      </c>
      <c r="B94" t="s">
        <v>404</v>
      </c>
      <c r="C94" t="s">
        <v>136</v>
      </c>
      <c r="D94" t="s">
        <v>135</v>
      </c>
      <c r="E94" t="str">
        <f t="shared" si="7"/>
        <v xml:space="preserve">ΒΟΡΕΙΟΥ ΑΙΓΑΙΟΥ - ΟΙΝΟΥΣΣΩΝ, </v>
      </c>
      <c r="F94" s="225" t="s">
        <v>667</v>
      </c>
      <c r="G94" s="225">
        <v>14352</v>
      </c>
      <c r="H94" t="str">
        <f>IFERROR(INDEX(DimosNaiOxi,MATCH(ΤΚ!E94,DimosNai,0)),"")</f>
        <v/>
      </c>
      <c r="I94" t="str">
        <f>LOOKUP(B94,ΠΕΡΙΦΕΡΕΙΑ!$A$2:$A$14,ΠΕΡΙΦΕΡΕΙΑ!$B$2:$B$14)</f>
        <v>Μερική</v>
      </c>
      <c r="J94" t="str">
        <f t="shared" si="11"/>
        <v/>
      </c>
      <c r="K94" s="199">
        <f t="shared" si="8"/>
        <v>99</v>
      </c>
      <c r="L94" t="str">
        <f t="shared" si="9"/>
        <v>ΔΥΤΙΚΗΣ ΕΛΛΑΔΑΣ</v>
      </c>
      <c r="M94" t="str">
        <f t="shared" si="10"/>
        <v>ΔΥΤΙΚΗΣ ΕΛΛΑΔΑΣ - ΑΙΓΙΑΛΕΙΑΣ</v>
      </c>
      <c r="N94" s="197">
        <f t="shared" si="12"/>
        <v>13950</v>
      </c>
      <c r="O94" s="197" t="str">
        <f t="shared" si="13"/>
        <v>Αιγιαλείας</v>
      </c>
    </row>
    <row r="95" spans="1:15" x14ac:dyDescent="0.25">
      <c r="A95" s="199">
        <v>94</v>
      </c>
      <c r="B95" t="s">
        <v>404</v>
      </c>
      <c r="C95" t="s">
        <v>134</v>
      </c>
      <c r="D95" t="s">
        <v>134</v>
      </c>
      <c r="E95" t="str">
        <f t="shared" si="7"/>
        <v xml:space="preserve">ΒΟΡΕΙΟΥ ΑΙΓΑΙΟΥ - ΣΑΜΟΥ, </v>
      </c>
      <c r="F95" s="225" t="s">
        <v>668</v>
      </c>
      <c r="G95" s="225">
        <v>14438</v>
      </c>
      <c r="H95" t="str">
        <f>IFERROR(INDEX(DimosNaiOxi,MATCH(ΤΚ!E95,DimosNai,0)),"")</f>
        <v>ΝΑΙ</v>
      </c>
      <c r="I95" t="str">
        <f>LOOKUP(B95,ΠΕΡΙΦΕΡΕΙΑ!$A$2:$A$14,ΠΕΡΙΦΕΡΕΙΑ!$B$2:$B$14)</f>
        <v>Μερική</v>
      </c>
      <c r="J95">
        <f t="shared" si="11"/>
        <v>94</v>
      </c>
      <c r="K95" s="199">
        <f t="shared" si="8"/>
        <v>100</v>
      </c>
      <c r="L95" t="str">
        <f t="shared" si="9"/>
        <v>ΔΥΤΙΚΗΣ ΕΛΛΑΔΑΣ</v>
      </c>
      <c r="M95" t="str">
        <f t="shared" si="10"/>
        <v>ΔΥΤΙΚΗΣ ΕΛΛΑΔΑΣ - ΑΚΤΙΟΥ – ΒΟΝΙΤΣΑΣ</v>
      </c>
      <c r="N95" s="197">
        <f t="shared" si="12"/>
        <v>13906</v>
      </c>
      <c r="O95" s="197" t="str">
        <f t="shared" si="13"/>
        <v>Άκτιου - Βόνιτσας</v>
      </c>
    </row>
    <row r="96" spans="1:15" x14ac:dyDescent="0.25">
      <c r="A96" s="199">
        <v>95</v>
      </c>
      <c r="B96" t="s">
        <v>404</v>
      </c>
      <c r="C96" t="s">
        <v>129</v>
      </c>
      <c r="D96" t="s">
        <v>130</v>
      </c>
      <c r="E96" t="str">
        <f t="shared" si="7"/>
        <v xml:space="preserve">ΒΟΡΕΙΟΥ ΑΙΓΑΙΟΥ - ΦΟΥΡΝΩΝ ΚΟΡΣΕΩΝ, </v>
      </c>
      <c r="F96" s="225" t="s">
        <v>669</v>
      </c>
      <c r="G96" s="225">
        <v>14526</v>
      </c>
      <c r="H96" t="str">
        <f>IFERROR(INDEX(DimosNaiOxi,MATCH(ΤΚ!E96,DimosNai,0)),"")</f>
        <v/>
      </c>
      <c r="I96" t="str">
        <f>LOOKUP(B96,ΠΕΡΙΦΕΡΕΙΑ!$A$2:$A$14,ΠΕΡΙΦΕΡΕΙΑ!$B$2:$B$14)</f>
        <v>Μερική</v>
      </c>
      <c r="J96" t="str">
        <f t="shared" si="11"/>
        <v/>
      </c>
      <c r="K96" s="199">
        <f t="shared" si="8"/>
        <v>101</v>
      </c>
      <c r="L96" t="str">
        <f t="shared" si="9"/>
        <v>ΔΥΤΙΚΗΣ ΕΛΛΑΔΑΣ</v>
      </c>
      <c r="M96" t="str">
        <f t="shared" si="10"/>
        <v>ΔΥΤΙΚΗΣ ΕΛΛΑΔΑΣ - ΑΜΦΙΛΟΧΙΑΣ</v>
      </c>
      <c r="N96" s="197">
        <f t="shared" si="12"/>
        <v>13980</v>
      </c>
      <c r="O96" s="197" t="str">
        <f t="shared" si="13"/>
        <v>Αμφιλοχίας</v>
      </c>
    </row>
    <row r="97" spans="1:15" x14ac:dyDescent="0.25">
      <c r="A97" s="199">
        <v>96</v>
      </c>
      <c r="B97" t="s">
        <v>404</v>
      </c>
      <c r="C97" t="s">
        <v>136</v>
      </c>
      <c r="D97" t="s">
        <v>136</v>
      </c>
      <c r="E97" t="str">
        <f t="shared" si="7"/>
        <v xml:space="preserve">ΒΟΡΕΙΟΥ ΑΙΓΑΙΟΥ - ΧΙΟΥ, </v>
      </c>
      <c r="F97" s="225" t="s">
        <v>670</v>
      </c>
      <c r="G97" s="225">
        <v>14534</v>
      </c>
      <c r="H97" t="str">
        <f>IFERROR(INDEX(DimosNaiOxi,MATCH(ΤΚ!E97,DimosNai,0)),"")</f>
        <v>ΝΑΙ</v>
      </c>
      <c r="I97" t="str">
        <f>LOOKUP(B97,ΠΕΡΙΦΕΡΕΙΑ!$A$2:$A$14,ΠΕΡΙΦΕΡΕΙΑ!$B$2:$B$14)</f>
        <v>Μερική</v>
      </c>
      <c r="J97">
        <f t="shared" si="11"/>
        <v>96</v>
      </c>
      <c r="K97" s="199">
        <f t="shared" si="8"/>
        <v>102</v>
      </c>
      <c r="L97" t="str">
        <f t="shared" si="9"/>
        <v>ΔΥΤΙΚΗΣ ΕΛΛΑΔΑΣ</v>
      </c>
      <c r="M97" t="str">
        <f t="shared" si="10"/>
        <v>ΔΥΤΙΚΗΣ ΕΛΛΑΔΑΣ - ΑΝΔΡΑΒΙΔΑΣ – ΚΥΛΛΗΝΗΣ</v>
      </c>
      <c r="N97" s="197">
        <f t="shared" si="12"/>
        <v>13988</v>
      </c>
      <c r="O97" s="197" t="str">
        <f t="shared" si="13"/>
        <v>Ανδραβίδας - Κυλλήνης</v>
      </c>
    </row>
    <row r="98" spans="1:15" x14ac:dyDescent="0.25">
      <c r="A98" s="199">
        <v>97</v>
      </c>
      <c r="B98" t="s">
        <v>404</v>
      </c>
      <c r="C98" t="s">
        <v>136</v>
      </c>
      <c r="D98" t="s">
        <v>137</v>
      </c>
      <c r="E98" t="str">
        <f t="shared" si="7"/>
        <v xml:space="preserve">ΒΟΡΕΙΟΥ ΑΙΓΑΙΟΥ - ΨΑΡΩΝ, </v>
      </c>
      <c r="F98" s="225" t="s">
        <v>671</v>
      </c>
      <c r="G98" s="225">
        <v>14548</v>
      </c>
      <c r="H98" t="str">
        <f>IFERROR(INDEX(DimosNaiOxi,MATCH(ΤΚ!E98,DimosNai,0)),"")</f>
        <v/>
      </c>
      <c r="I98" t="str">
        <f>LOOKUP(B98,ΠΕΡΙΦΕΡΕΙΑ!$A$2:$A$14,ΠΕΡΙΦΕΡΕΙΑ!$B$2:$B$14)</f>
        <v>Μερική</v>
      </c>
      <c r="J98" t="str">
        <f t="shared" si="11"/>
        <v/>
      </c>
      <c r="K98" s="199">
        <f t="shared" si="8"/>
        <v>103</v>
      </c>
      <c r="L98" t="str">
        <f t="shared" si="9"/>
        <v>ΔΥΤΙΚΗΣ ΕΛΛΑΔΑΣ</v>
      </c>
      <c r="M98" t="str">
        <f t="shared" si="10"/>
        <v>ΔΥΤΙΚΗΣ ΕΛΛΑΔΑΣ - ΑΝΔΡΙΤΣΑΙΝΑΣ – ΚΡΕΣΤΕΝΩΝ</v>
      </c>
      <c r="N98" s="197">
        <f t="shared" si="12"/>
        <v>13986</v>
      </c>
      <c r="O98" s="197" t="str">
        <f t="shared" si="13"/>
        <v>Ανδρίτσαινας - Κρεστένων</v>
      </c>
    </row>
    <row r="99" spans="1:15" x14ac:dyDescent="0.25">
      <c r="A99" s="199">
        <v>98</v>
      </c>
      <c r="B99" t="s">
        <v>405</v>
      </c>
      <c r="C99" t="s">
        <v>374</v>
      </c>
      <c r="D99" t="s">
        <v>138</v>
      </c>
      <c r="E99" t="str">
        <f t="shared" si="7"/>
        <v xml:space="preserve">ΔΥΤΙΚΗΣ ΕΛΛΑΔΑΣ - ΑΓΡΙΝΙΟΥ, </v>
      </c>
      <c r="F99" s="225" t="s">
        <v>672</v>
      </c>
      <c r="G99" s="225">
        <v>13944</v>
      </c>
      <c r="H99" t="str">
        <f>IFERROR(INDEX(DimosNaiOxi,MATCH(ΤΚ!E99,DimosNai,0)),"")</f>
        <v/>
      </c>
      <c r="I99" t="str">
        <f>LOOKUP(B99,ΠΕΡΙΦΕΡΕΙΑ!$A$2:$A$14,ΠΕΡΙΦΕΡΕΙΑ!$B$2:$B$14)</f>
        <v>Ολική</v>
      </c>
      <c r="J99">
        <f t="shared" si="11"/>
        <v>98</v>
      </c>
      <c r="K99" s="199">
        <f t="shared" si="8"/>
        <v>104</v>
      </c>
      <c r="L99" t="str">
        <f t="shared" si="9"/>
        <v>ΔΥΤΙΚΗΣ ΕΛΛΑΔΑΣ</v>
      </c>
      <c r="M99" t="str">
        <f t="shared" si="10"/>
        <v>ΔΥΤΙΚΗΣ ΕΛΛΑΔΑΣ - ΑΡΧΑΙΑΣ ΟΛΥΜΠΙΑΣ</v>
      </c>
      <c r="N99" s="197">
        <f t="shared" si="12"/>
        <v>14004</v>
      </c>
      <c r="O99" s="197" t="str">
        <f t="shared" si="13"/>
        <v>Αρχαίας Ολυμπίας</v>
      </c>
    </row>
    <row r="100" spans="1:15" x14ac:dyDescent="0.25">
      <c r="A100" s="199">
        <v>99</v>
      </c>
      <c r="B100" t="s">
        <v>405</v>
      </c>
      <c r="C100" t="s">
        <v>375</v>
      </c>
      <c r="D100" t="s">
        <v>145</v>
      </c>
      <c r="E100" t="str">
        <f t="shared" si="7"/>
        <v xml:space="preserve">ΔΥΤΙΚΗΣ ΕΛΛΑΔΑΣ - ΑΙΓΙΑΛΕΙΑΣ, </v>
      </c>
      <c r="F100" s="225" t="s">
        <v>673</v>
      </c>
      <c r="G100" s="225">
        <v>13950</v>
      </c>
      <c r="H100" t="str">
        <f>IFERROR(INDEX(DimosNaiOxi,MATCH(ΤΚ!E100,DimosNai,0)),"")</f>
        <v/>
      </c>
      <c r="I100" t="str">
        <f>LOOKUP(B100,ΠΕΡΙΦΕΡΕΙΑ!$A$2:$A$14,ΠΕΡΙΦΕΡΕΙΑ!$B$2:$B$14)</f>
        <v>Ολική</v>
      </c>
      <c r="J100">
        <f t="shared" si="11"/>
        <v>99</v>
      </c>
      <c r="K100" s="199">
        <f t="shared" si="8"/>
        <v>105</v>
      </c>
      <c r="L100" t="str">
        <f t="shared" si="9"/>
        <v>ΔΥΤΙΚΗΣ ΕΛΛΑΔΑΣ</v>
      </c>
      <c r="M100" t="str">
        <f t="shared" si="10"/>
        <v>ΔΥΤΙΚΗΣ ΕΛΛΑΔΑΣ - ΔΥΤΙΚΗΣ ΑΧΑΪΑΣ</v>
      </c>
      <c r="N100" s="197">
        <f t="shared" si="12"/>
        <v>14076</v>
      </c>
      <c r="O100" s="197" t="str">
        <f t="shared" si="13"/>
        <v>Δυτικής Αχαΐας</v>
      </c>
    </row>
    <row r="101" spans="1:15" x14ac:dyDescent="0.25">
      <c r="A101" s="199">
        <v>100</v>
      </c>
      <c r="B101" t="s">
        <v>405</v>
      </c>
      <c r="C101" t="s">
        <v>374</v>
      </c>
      <c r="D101" t="s">
        <v>139</v>
      </c>
      <c r="E101" t="str">
        <f t="shared" si="7"/>
        <v xml:space="preserve">ΔΥΤΙΚΗΣ ΕΛΛΑΔΑΣ - ΑΚΤΙΟΥ – ΒΟΝΙΤΣΑΣ, </v>
      </c>
      <c r="F101" s="225" t="s">
        <v>674</v>
      </c>
      <c r="G101" s="225">
        <v>13906</v>
      </c>
      <c r="H101" t="str">
        <f>IFERROR(INDEX(DimosNaiOxi,MATCH(ΤΚ!E101,DimosNai,0)),"")</f>
        <v/>
      </c>
      <c r="I101" t="str">
        <f>LOOKUP(B101,ΠΕΡΙΦΕΡΕΙΑ!$A$2:$A$14,ΠΕΡΙΦΕΡΕΙΑ!$B$2:$B$14)</f>
        <v>Ολική</v>
      </c>
      <c r="J101">
        <f t="shared" si="11"/>
        <v>100</v>
      </c>
      <c r="K101" s="199">
        <f t="shared" si="8"/>
        <v>106</v>
      </c>
      <c r="L101" t="str">
        <f t="shared" si="9"/>
        <v>ΔΥΤΙΚΗΣ ΕΛΛΑΔΑΣ</v>
      </c>
      <c r="M101" t="str">
        <f t="shared" si="10"/>
        <v>ΔΥΤΙΚΗΣ ΕΛΛΑΔΑΣ - ΕΡΥΜΑΝΘΟΥ</v>
      </c>
      <c r="N101" s="197">
        <f t="shared" si="12"/>
        <v>14102</v>
      </c>
      <c r="O101" s="197" t="str">
        <f t="shared" si="13"/>
        <v>Ερυμάνθου</v>
      </c>
    </row>
    <row r="102" spans="1:15" x14ac:dyDescent="0.25">
      <c r="A102" s="199">
        <v>101</v>
      </c>
      <c r="B102" t="s">
        <v>405</v>
      </c>
      <c r="C102" t="s">
        <v>374</v>
      </c>
      <c r="D102" t="s">
        <v>140</v>
      </c>
      <c r="E102" t="str">
        <f t="shared" si="7"/>
        <v xml:space="preserve">ΔΥΤΙΚΗΣ ΕΛΛΑΔΑΣ - ΑΜΦΙΛΟΧΙΑΣ, </v>
      </c>
      <c r="F102" s="225" t="s">
        <v>675</v>
      </c>
      <c r="G102" s="225">
        <v>13980</v>
      </c>
      <c r="H102" t="str">
        <f>IFERROR(INDEX(DimosNaiOxi,MATCH(ΤΚ!E102,DimosNai,0)),"")</f>
        <v/>
      </c>
      <c r="I102" t="str">
        <f>LOOKUP(B102,ΠΕΡΙΦΕΡΕΙΑ!$A$2:$A$14,ΠΕΡΙΦΕΡΕΙΑ!$B$2:$B$14)</f>
        <v>Ολική</v>
      </c>
      <c r="J102">
        <f t="shared" si="11"/>
        <v>101</v>
      </c>
      <c r="K102" s="199">
        <f t="shared" si="8"/>
        <v>107</v>
      </c>
      <c r="L102" t="str">
        <f t="shared" si="9"/>
        <v>ΔΥΤΙΚΗΣ ΕΛΛΑΔΑΣ</v>
      </c>
      <c r="M102" t="str">
        <f t="shared" si="10"/>
        <v>ΔΥΤΙΚΗΣ ΕΛΛΑΔΑΣ - ΖΑΧΑΡΩΣ</v>
      </c>
      <c r="N102" s="197">
        <f t="shared" si="12"/>
        <v>14114</v>
      </c>
      <c r="O102" s="197" t="str">
        <f t="shared" si="13"/>
        <v>Ζαχάρως</v>
      </c>
    </row>
    <row r="103" spans="1:15" x14ac:dyDescent="0.25">
      <c r="A103" s="199">
        <v>102</v>
      </c>
      <c r="B103" t="s">
        <v>405</v>
      </c>
      <c r="C103" t="s">
        <v>376</v>
      </c>
      <c r="D103" t="s">
        <v>150</v>
      </c>
      <c r="E103" t="str">
        <f t="shared" si="7"/>
        <v xml:space="preserve">ΔΥΤΙΚΗΣ ΕΛΛΑΔΑΣ - ΑΝΔΡΑΒΙΔΑΣ – ΚΥΛΛΗΝΗΣ, </v>
      </c>
      <c r="F103" s="225" t="s">
        <v>676</v>
      </c>
      <c r="G103" s="225">
        <v>13988</v>
      </c>
      <c r="H103" t="str">
        <f>IFERROR(INDEX(DimosNaiOxi,MATCH(ΤΚ!E103,DimosNai,0)),"")</f>
        <v/>
      </c>
      <c r="I103" t="str">
        <f>LOOKUP(B103,ΠΕΡΙΦΕΡΕΙΑ!$A$2:$A$14,ΠΕΡΙΦΕΡΕΙΑ!$B$2:$B$14)</f>
        <v>Ολική</v>
      </c>
      <c r="J103">
        <f t="shared" si="11"/>
        <v>102</v>
      </c>
      <c r="K103" s="199">
        <f t="shared" si="8"/>
        <v>108</v>
      </c>
      <c r="L103" t="str">
        <f t="shared" si="9"/>
        <v>ΔΥΤΙΚΗΣ ΕΛΛΑΔΑΣ</v>
      </c>
      <c r="M103" t="str">
        <f t="shared" si="10"/>
        <v>ΔΥΤΙΚΗΣ ΕΛΛΑΔΑΣ - ΗΛΙΔΑΣ</v>
      </c>
      <c r="N103" s="197">
        <f t="shared" si="12"/>
        <v>13914</v>
      </c>
      <c r="O103" s="197" t="str">
        <f t="shared" si="13"/>
        <v>Ήλιδας</v>
      </c>
    </row>
    <row r="104" spans="1:15" x14ac:dyDescent="0.25">
      <c r="A104" s="199">
        <v>103</v>
      </c>
      <c r="B104" t="s">
        <v>405</v>
      </c>
      <c r="C104" t="s">
        <v>376</v>
      </c>
      <c r="D104" t="s">
        <v>151</v>
      </c>
      <c r="E104" t="str">
        <f t="shared" si="7"/>
        <v xml:space="preserve">ΔΥΤΙΚΗΣ ΕΛΛΑΔΑΣ - ΑΝΔΡΙΤΣΑΙΝΑΣ – ΚΡΕΣΤΕΝΩΝ, </v>
      </c>
      <c r="F104" s="225" t="s">
        <v>677</v>
      </c>
      <c r="G104" s="225">
        <v>13986</v>
      </c>
      <c r="H104" t="str">
        <f>IFERROR(INDEX(DimosNaiOxi,MATCH(ΤΚ!E104,DimosNai,0)),"")</f>
        <v/>
      </c>
      <c r="I104" t="str">
        <f>LOOKUP(B104,ΠΕΡΙΦΕΡΕΙΑ!$A$2:$A$14,ΠΕΡΙΦΕΡΕΙΑ!$B$2:$B$14)</f>
        <v>Ολική</v>
      </c>
      <c r="J104">
        <f t="shared" si="11"/>
        <v>103</v>
      </c>
      <c r="K104" s="199">
        <f t="shared" si="8"/>
        <v>109</v>
      </c>
      <c r="L104" t="str">
        <f t="shared" si="9"/>
        <v>ΔΥΤΙΚΗΣ ΕΛΛΑΔΑΣ</v>
      </c>
      <c r="M104" t="str">
        <f t="shared" si="10"/>
        <v>ΔΥΤΙΚΗΣ ΕΛΛΑΔΑΣ - ΘΕΡΜΟΥ</v>
      </c>
      <c r="N104" s="197">
        <f t="shared" si="12"/>
        <v>14132</v>
      </c>
      <c r="O104" s="197" t="str">
        <f t="shared" si="13"/>
        <v>Θέρμου</v>
      </c>
    </row>
    <row r="105" spans="1:15" x14ac:dyDescent="0.25">
      <c r="A105" s="199">
        <v>104</v>
      </c>
      <c r="B105" t="s">
        <v>405</v>
      </c>
      <c r="C105" t="s">
        <v>376</v>
      </c>
      <c r="D105" t="s">
        <v>152</v>
      </c>
      <c r="E105" t="str">
        <f t="shared" si="7"/>
        <v xml:space="preserve">ΔΥΤΙΚΗΣ ΕΛΛΑΔΑΣ - ΑΡΧΑΙΑΣ ΟΛΥΜΠΙΑΣ, </v>
      </c>
      <c r="F105" s="225" t="s">
        <v>678</v>
      </c>
      <c r="G105" s="225">
        <v>14004</v>
      </c>
      <c r="H105" t="str">
        <f>IFERROR(INDEX(DimosNaiOxi,MATCH(ΤΚ!E105,DimosNai,0)),"")</f>
        <v/>
      </c>
      <c r="I105" t="str">
        <f>LOOKUP(B105,ΠΕΡΙΦΕΡΕΙΑ!$A$2:$A$14,ΠΕΡΙΦΕΡΕΙΑ!$B$2:$B$14)</f>
        <v>Ολική</v>
      </c>
      <c r="J105">
        <f t="shared" si="11"/>
        <v>104</v>
      </c>
      <c r="K105" s="199">
        <f t="shared" si="8"/>
        <v>110</v>
      </c>
      <c r="L105" t="str">
        <f t="shared" si="9"/>
        <v>ΔΥΤΙΚΗΣ ΕΛΛΑΔΑΣ</v>
      </c>
      <c r="M105" t="str">
        <f t="shared" si="10"/>
        <v>ΔΥΤΙΚΗΣ ΕΛΛΑΔΑΣ - ΙΕΡΑΣ ΠΟΛΗΣ ΜΕΣΟΛΟΓΓΙΟΥ</v>
      </c>
      <c r="N105" s="197">
        <f t="shared" si="12"/>
        <v>14146</v>
      </c>
      <c r="O105" s="197" t="str">
        <f t="shared" si="13"/>
        <v>Ιεράς Πόλης Μεσολογγίου</v>
      </c>
    </row>
    <row r="106" spans="1:15" x14ac:dyDescent="0.25">
      <c r="A106" s="199">
        <v>105</v>
      </c>
      <c r="B106" t="s">
        <v>405</v>
      </c>
      <c r="C106" t="s">
        <v>375</v>
      </c>
      <c r="D106" t="s">
        <v>146</v>
      </c>
      <c r="E106" t="str">
        <f t="shared" si="7"/>
        <v xml:space="preserve">ΔΥΤΙΚΗΣ ΕΛΛΑΔΑΣ - ΔΥΤΙΚΗΣ ΑΧΑΪΑΣ, </v>
      </c>
      <c r="F106" s="225" t="s">
        <v>679</v>
      </c>
      <c r="G106" s="225">
        <v>14076</v>
      </c>
      <c r="H106" t="str">
        <f>IFERROR(INDEX(DimosNaiOxi,MATCH(ΤΚ!E106,DimosNai,0)),"")</f>
        <v/>
      </c>
      <c r="I106" t="str">
        <f>LOOKUP(B106,ΠΕΡΙΦΕΡΕΙΑ!$A$2:$A$14,ΠΕΡΙΦΕΡΕΙΑ!$B$2:$B$14)</f>
        <v>Ολική</v>
      </c>
      <c r="J106">
        <f t="shared" si="11"/>
        <v>105</v>
      </c>
      <c r="K106" s="199">
        <f t="shared" si="8"/>
        <v>111</v>
      </c>
      <c r="L106" t="str">
        <f t="shared" si="9"/>
        <v>ΔΥΤΙΚΗΣ ΕΛΛΑΔΑΣ</v>
      </c>
      <c r="M106" t="str">
        <f t="shared" si="10"/>
        <v>ΔΥΤΙΚΗΣ ΕΛΛΑΔΑΣ - ΚΑΛΑΒΡΥΤΩΝ</v>
      </c>
      <c r="N106" s="197">
        <f t="shared" si="12"/>
        <v>14178</v>
      </c>
      <c r="O106" s="197" t="str">
        <f t="shared" si="13"/>
        <v>Καλαβρύτων</v>
      </c>
    </row>
    <row r="107" spans="1:15" x14ac:dyDescent="0.25">
      <c r="A107" s="199">
        <v>106</v>
      </c>
      <c r="B107" t="s">
        <v>405</v>
      </c>
      <c r="C107" t="s">
        <v>375</v>
      </c>
      <c r="D107" t="s">
        <v>147</v>
      </c>
      <c r="E107" t="str">
        <f t="shared" si="7"/>
        <v xml:space="preserve">ΔΥΤΙΚΗΣ ΕΛΛΑΔΑΣ - ΕΡΥΜΑΝΘΟΥ, </v>
      </c>
      <c r="F107" s="225" t="s">
        <v>680</v>
      </c>
      <c r="G107" s="225">
        <v>14102</v>
      </c>
      <c r="H107" t="str">
        <f>IFERROR(INDEX(DimosNaiOxi,MATCH(ΤΚ!E107,DimosNai,0)),"")</f>
        <v/>
      </c>
      <c r="I107" t="str">
        <f>LOOKUP(B107,ΠΕΡΙΦΕΡΕΙΑ!$A$2:$A$14,ΠΕΡΙΦΕΡΕΙΑ!$B$2:$B$14)</f>
        <v>Ολική</v>
      </c>
      <c r="J107">
        <f t="shared" si="11"/>
        <v>106</v>
      </c>
      <c r="K107" s="199">
        <f t="shared" si="8"/>
        <v>112</v>
      </c>
      <c r="L107" t="str">
        <f t="shared" si="9"/>
        <v>ΔΥΤΙΚΗΣ ΕΛΛΑΔΑΣ</v>
      </c>
      <c r="M107" t="str">
        <f t="shared" si="10"/>
        <v>ΔΥΤΙΚΗΣ ΕΛΛΑΔΑΣ - ΝΑΥΠΑΚΤΙΑΣ</v>
      </c>
      <c r="N107" s="197">
        <f t="shared" si="12"/>
        <v>14332</v>
      </c>
      <c r="O107" s="197" t="str">
        <f t="shared" si="13"/>
        <v>Ναυπακτίας</v>
      </c>
    </row>
    <row r="108" spans="1:15" x14ac:dyDescent="0.25">
      <c r="A108" s="199">
        <v>107</v>
      </c>
      <c r="B108" t="s">
        <v>405</v>
      </c>
      <c r="C108" t="s">
        <v>376</v>
      </c>
      <c r="D108" t="s">
        <v>153</v>
      </c>
      <c r="E108" t="str">
        <f t="shared" si="7"/>
        <v xml:space="preserve">ΔΥΤΙΚΗΣ ΕΛΛΑΔΑΣ - ΖΑΧΑΡΩΣ, </v>
      </c>
      <c r="F108" s="225" t="s">
        <v>681</v>
      </c>
      <c r="G108" s="225">
        <v>14114</v>
      </c>
      <c r="H108" t="str">
        <f>IFERROR(INDEX(DimosNaiOxi,MATCH(ΤΚ!E108,DimosNai,0)),"")</f>
        <v/>
      </c>
      <c r="I108" t="str">
        <f>LOOKUP(B108,ΠΕΡΙΦΕΡΕΙΑ!$A$2:$A$14,ΠΕΡΙΦΕΡΕΙΑ!$B$2:$B$14)</f>
        <v>Ολική</v>
      </c>
      <c r="J108">
        <f t="shared" si="11"/>
        <v>107</v>
      </c>
      <c r="K108" s="199">
        <f t="shared" si="8"/>
        <v>113</v>
      </c>
      <c r="L108" t="str">
        <f t="shared" si="9"/>
        <v>ΔΥΤΙΚΗΣ ΕΛΛΑΔΑΣ</v>
      </c>
      <c r="M108" t="str">
        <f t="shared" si="10"/>
        <v>ΔΥΤΙΚΗΣ ΕΛΛΑΔΑΣ - ΞΗΡΟΜΕΡΟΥ</v>
      </c>
      <c r="N108" s="197">
        <f t="shared" si="12"/>
        <v>14348</v>
      </c>
      <c r="O108" s="197" t="str">
        <f t="shared" si="13"/>
        <v>Ξηρομέρου</v>
      </c>
    </row>
    <row r="109" spans="1:15" x14ac:dyDescent="0.25">
      <c r="A109" s="199">
        <v>108</v>
      </c>
      <c r="B109" t="s">
        <v>405</v>
      </c>
      <c r="C109" t="s">
        <v>376</v>
      </c>
      <c r="D109" t="s">
        <v>154</v>
      </c>
      <c r="E109" t="str">
        <f t="shared" si="7"/>
        <v xml:space="preserve">ΔΥΤΙΚΗΣ ΕΛΛΑΔΑΣ - ΗΛΙΔΑΣ, </v>
      </c>
      <c r="F109" s="225" t="s">
        <v>682</v>
      </c>
      <c r="G109" s="225">
        <v>13914</v>
      </c>
      <c r="H109" t="str">
        <f>IFERROR(INDEX(DimosNaiOxi,MATCH(ΤΚ!E109,DimosNai,0)),"")</f>
        <v/>
      </c>
      <c r="I109" t="str">
        <f>LOOKUP(B109,ΠΕΡΙΦΕΡΕΙΑ!$A$2:$A$14,ΠΕΡΙΦΕΡΕΙΑ!$B$2:$B$14)</f>
        <v>Ολική</v>
      </c>
      <c r="J109">
        <f t="shared" si="11"/>
        <v>108</v>
      </c>
      <c r="K109" s="199">
        <f t="shared" si="8"/>
        <v>114</v>
      </c>
      <c r="L109" t="str">
        <f t="shared" si="9"/>
        <v>ΔΥΤΙΚΗΣ ΕΛΛΑΔΑΣ</v>
      </c>
      <c r="M109" t="str">
        <f t="shared" si="10"/>
        <v>ΔΥΤΙΚΗΣ ΕΛΛΑΔΑΣ - ΠΑΤΡΕΩΝ</v>
      </c>
      <c r="N109" s="197">
        <f t="shared" si="12"/>
        <v>14402</v>
      </c>
      <c r="O109" s="197" t="str">
        <f t="shared" si="13"/>
        <v>Πατρέων</v>
      </c>
    </row>
    <row r="110" spans="1:15" x14ac:dyDescent="0.25">
      <c r="A110" s="199">
        <v>109</v>
      </c>
      <c r="B110" t="s">
        <v>405</v>
      </c>
      <c r="C110" t="s">
        <v>374</v>
      </c>
      <c r="D110" t="s">
        <v>141</v>
      </c>
      <c r="E110" t="str">
        <f t="shared" si="7"/>
        <v xml:space="preserve">ΔΥΤΙΚΗΣ ΕΛΛΑΔΑΣ - ΘΕΡΜΟΥ, </v>
      </c>
      <c r="F110" s="225" t="s">
        <v>683</v>
      </c>
      <c r="G110" s="225">
        <v>14132</v>
      </c>
      <c r="H110" t="str">
        <f>IFERROR(INDEX(DimosNaiOxi,MATCH(ΤΚ!E110,DimosNai,0)),"")</f>
        <v/>
      </c>
      <c r="I110" t="str">
        <f>LOOKUP(B110,ΠΕΡΙΦΕΡΕΙΑ!$A$2:$A$14,ΠΕΡΙΦΕΡΕΙΑ!$B$2:$B$14)</f>
        <v>Ολική</v>
      </c>
      <c r="J110">
        <f t="shared" si="11"/>
        <v>109</v>
      </c>
      <c r="K110" s="199">
        <f t="shared" si="8"/>
        <v>115</v>
      </c>
      <c r="L110" t="str">
        <f t="shared" si="9"/>
        <v>ΔΥΤΙΚΗΣ ΕΛΛΑΔΑΣ</v>
      </c>
      <c r="M110" t="str">
        <f t="shared" si="10"/>
        <v>ΔΥΤΙΚΗΣ ΕΛΛΑΔΑΣ - ΠΗΝΕΙΟΥ</v>
      </c>
      <c r="N110" s="197">
        <f t="shared" si="12"/>
        <v>14414</v>
      </c>
      <c r="O110" s="197" t="str">
        <f t="shared" si="13"/>
        <v>Πηνειού</v>
      </c>
    </row>
    <row r="111" spans="1:15" x14ac:dyDescent="0.25">
      <c r="A111" s="199">
        <v>110</v>
      </c>
      <c r="B111" t="s">
        <v>405</v>
      </c>
      <c r="C111" t="s">
        <v>374</v>
      </c>
      <c r="D111" t="s">
        <v>142</v>
      </c>
      <c r="E111" t="str">
        <f t="shared" si="7"/>
        <v xml:space="preserve">ΔΥΤΙΚΗΣ ΕΛΛΑΔΑΣ - ΙΕΡΑΣ ΠΟΛΗΣ ΜΕΣΟΛΟΓΓΙΟΥ, </v>
      </c>
      <c r="F111" s="225" t="s">
        <v>684</v>
      </c>
      <c r="G111" s="225">
        <v>14146</v>
      </c>
      <c r="H111" t="str">
        <f>IFERROR(INDEX(DimosNaiOxi,MATCH(ΤΚ!E111,DimosNai,0)),"")</f>
        <v/>
      </c>
      <c r="I111" t="str">
        <f>LOOKUP(B111,ΠΕΡΙΦΕΡΕΙΑ!$A$2:$A$14,ΠΕΡΙΦΕΡΕΙΑ!$B$2:$B$14)</f>
        <v>Ολική</v>
      </c>
      <c r="J111">
        <f t="shared" si="11"/>
        <v>110</v>
      </c>
      <c r="K111" s="199">
        <f t="shared" si="8"/>
        <v>116</v>
      </c>
      <c r="L111" t="str">
        <f t="shared" si="9"/>
        <v>ΔΥΤΙΚΗΣ ΕΛΛΑΔΑΣ</v>
      </c>
      <c r="M111" t="str">
        <f t="shared" si="10"/>
        <v>ΔΥΤΙΚΗΣ ΕΛΛΑΔΑΣ - ΠΥΡΓΟΥ</v>
      </c>
      <c r="N111" s="197">
        <f t="shared" si="12"/>
        <v>14380</v>
      </c>
      <c r="O111" s="197" t="str">
        <f t="shared" si="13"/>
        <v>Πύργου</v>
      </c>
    </row>
    <row r="112" spans="1:15" x14ac:dyDescent="0.25">
      <c r="A112" s="199">
        <v>111</v>
      </c>
      <c r="B112" t="s">
        <v>405</v>
      </c>
      <c r="C112" t="s">
        <v>375</v>
      </c>
      <c r="D112" t="s">
        <v>148</v>
      </c>
      <c r="E112" t="str">
        <f t="shared" si="7"/>
        <v xml:space="preserve">ΔΥΤΙΚΗΣ ΕΛΛΑΔΑΣ - ΚΑΛΑΒΡΥΤΩΝ, </v>
      </c>
      <c r="F112" s="225" t="s">
        <v>685</v>
      </c>
      <c r="G112" s="225">
        <v>14178</v>
      </c>
      <c r="H112" t="str">
        <f>IFERROR(INDEX(DimosNaiOxi,MATCH(ΤΚ!E112,DimosNai,0)),"")</f>
        <v/>
      </c>
      <c r="I112" t="str">
        <f>LOOKUP(B112,ΠΕΡΙΦΕΡΕΙΑ!$A$2:$A$14,ΠΕΡΙΦΕΡΕΙΑ!$B$2:$B$14)</f>
        <v>Ολική</v>
      </c>
      <c r="J112">
        <f t="shared" si="11"/>
        <v>111</v>
      </c>
      <c r="K112" s="199">
        <f t="shared" si="8"/>
        <v>117</v>
      </c>
      <c r="L112" t="str">
        <f t="shared" si="9"/>
        <v>ΔΥΤΙΚΗΣ ΜΑΚΕΔΟΝΙΑΣ</v>
      </c>
      <c r="M112" t="str">
        <f t="shared" si="10"/>
        <v>ΔΥΤΙΚΗΣ ΜΑΚΕΔΟΝΙΑΣ - ΑΜΥΝΤΑΙΟΥ</v>
      </c>
      <c r="N112" s="197">
        <f t="shared" si="12"/>
        <v>13974</v>
      </c>
      <c r="O112" s="197" t="str">
        <f t="shared" si="13"/>
        <v>Αμυνταίου</v>
      </c>
    </row>
    <row r="113" spans="1:15" x14ac:dyDescent="0.25">
      <c r="A113" s="199">
        <v>112</v>
      </c>
      <c r="B113" t="s">
        <v>405</v>
      </c>
      <c r="C113" t="s">
        <v>374</v>
      </c>
      <c r="D113" t="s">
        <v>143</v>
      </c>
      <c r="E113" t="str">
        <f t="shared" si="7"/>
        <v xml:space="preserve">ΔΥΤΙΚΗΣ ΕΛΛΑΔΑΣ - ΝΑΥΠΑΚΤΙΑΣ, </v>
      </c>
      <c r="F113" s="225" t="s">
        <v>686</v>
      </c>
      <c r="G113" s="225">
        <v>14332</v>
      </c>
      <c r="H113" t="str">
        <f>IFERROR(INDEX(DimosNaiOxi,MATCH(ΤΚ!E113,DimosNai,0)),"")</f>
        <v/>
      </c>
      <c r="I113" t="str">
        <f>LOOKUP(B113,ΠΕΡΙΦΕΡΕΙΑ!$A$2:$A$14,ΠΕΡΙΦΕΡΕΙΑ!$B$2:$B$14)</f>
        <v>Ολική</v>
      </c>
      <c r="J113">
        <f t="shared" si="11"/>
        <v>112</v>
      </c>
      <c r="K113" s="199">
        <f t="shared" si="8"/>
        <v>118</v>
      </c>
      <c r="L113" t="str">
        <f t="shared" si="9"/>
        <v>ΔΥΤΙΚΗΣ ΜΑΚΕΔΟΝΙΑΣ</v>
      </c>
      <c r="M113" t="str">
        <f t="shared" si="10"/>
        <v>ΔΥΤΙΚΗΣ ΜΑΚΕΔΟΝΙΑΣ - ΒΟΪΟΥ</v>
      </c>
      <c r="N113" s="197">
        <f t="shared" si="12"/>
        <v>14034</v>
      </c>
      <c r="O113" s="197" t="str">
        <f t="shared" si="13"/>
        <v>Βοϊου</v>
      </c>
    </row>
    <row r="114" spans="1:15" x14ac:dyDescent="0.25">
      <c r="A114" s="199">
        <v>113</v>
      </c>
      <c r="B114" t="s">
        <v>405</v>
      </c>
      <c r="C114" t="s">
        <v>374</v>
      </c>
      <c r="D114" t="s">
        <v>144</v>
      </c>
      <c r="E114" t="str">
        <f t="shared" si="7"/>
        <v xml:space="preserve">ΔΥΤΙΚΗΣ ΕΛΛΑΔΑΣ - ΞΗΡΟΜΕΡΟΥ, </v>
      </c>
      <c r="F114" s="225" t="s">
        <v>687</v>
      </c>
      <c r="G114" s="225">
        <v>14348</v>
      </c>
      <c r="H114" t="str">
        <f>IFERROR(INDEX(DimosNaiOxi,MATCH(ΤΚ!E114,DimosNai,0)),"")</f>
        <v/>
      </c>
      <c r="I114" t="str">
        <f>LOOKUP(B114,ΠΕΡΙΦΕΡΕΙΑ!$A$2:$A$14,ΠΕΡΙΦΕΡΕΙΑ!$B$2:$B$14)</f>
        <v>Ολική</v>
      </c>
      <c r="J114">
        <f t="shared" si="11"/>
        <v>113</v>
      </c>
      <c r="K114" s="199">
        <f t="shared" si="8"/>
        <v>119</v>
      </c>
      <c r="L114" t="str">
        <f t="shared" si="9"/>
        <v>ΔΥΤΙΚΗΣ ΜΑΚΕΔΟΝΙΑΣ</v>
      </c>
      <c r="M114" t="str">
        <f t="shared" si="10"/>
        <v>ΔΥΤΙΚΗΣ ΜΑΚΕΔΟΝΙΑΣ - ΓΡΕΒΕΝΩΝ</v>
      </c>
      <c r="N114" s="197">
        <f t="shared" si="12"/>
        <v>14050</v>
      </c>
      <c r="O114" s="197" t="str">
        <f t="shared" si="13"/>
        <v>Γρεβενών</v>
      </c>
    </row>
    <row r="115" spans="1:15" x14ac:dyDescent="0.25">
      <c r="A115" s="199">
        <v>114</v>
      </c>
      <c r="B115" t="s">
        <v>405</v>
      </c>
      <c r="C115" t="s">
        <v>375</v>
      </c>
      <c r="D115" t="s">
        <v>149</v>
      </c>
      <c r="E115" t="str">
        <f t="shared" si="7"/>
        <v xml:space="preserve">ΔΥΤΙΚΗΣ ΕΛΛΑΔΑΣ - ΠΑΤΡΕΩΝ, </v>
      </c>
      <c r="F115" s="225" t="s">
        <v>688</v>
      </c>
      <c r="G115" s="225">
        <v>14402</v>
      </c>
      <c r="H115" t="str">
        <f>IFERROR(INDEX(DimosNaiOxi,MATCH(ΤΚ!E115,DimosNai,0)),"")</f>
        <v/>
      </c>
      <c r="I115" t="str">
        <f>LOOKUP(B115,ΠΕΡΙΦΕΡΕΙΑ!$A$2:$A$14,ΠΕΡΙΦΕΡΕΙΑ!$B$2:$B$14)</f>
        <v>Ολική</v>
      </c>
      <c r="J115">
        <f t="shared" si="11"/>
        <v>114</v>
      </c>
      <c r="K115" s="199">
        <f t="shared" si="8"/>
        <v>120</v>
      </c>
      <c r="L115" t="str">
        <f t="shared" si="9"/>
        <v>ΔΥΤΙΚΗΣ ΜΑΚΕΔΟΝΙΑΣ</v>
      </c>
      <c r="M115" t="str">
        <f t="shared" si="10"/>
        <v>ΔΥΤΙΚΗΣ ΜΑΚΕΔΟΝΙΑΣ - ΔΕΣΚΑΤΗΣ</v>
      </c>
      <c r="N115" s="197">
        <f t="shared" si="12"/>
        <v>14060</v>
      </c>
      <c r="O115" s="197" t="str">
        <f t="shared" si="13"/>
        <v>Δεσκάτης</v>
      </c>
    </row>
    <row r="116" spans="1:15" x14ac:dyDescent="0.25">
      <c r="A116" s="199">
        <v>115</v>
      </c>
      <c r="B116" t="s">
        <v>405</v>
      </c>
      <c r="C116" t="s">
        <v>376</v>
      </c>
      <c r="D116" t="s">
        <v>155</v>
      </c>
      <c r="E116" t="str">
        <f t="shared" si="7"/>
        <v xml:space="preserve">ΔΥΤΙΚΗΣ ΕΛΛΑΔΑΣ - ΠΗΝΕΙΟΥ, </v>
      </c>
      <c r="F116" s="225" t="s">
        <v>689</v>
      </c>
      <c r="G116" s="225">
        <v>14414</v>
      </c>
      <c r="H116" t="str">
        <f>IFERROR(INDEX(DimosNaiOxi,MATCH(ΤΚ!E116,DimosNai,0)),"")</f>
        <v/>
      </c>
      <c r="I116" t="str">
        <f>LOOKUP(B116,ΠΕΡΙΦΕΡΕΙΑ!$A$2:$A$14,ΠΕΡΙΦΕΡΕΙΑ!$B$2:$B$14)</f>
        <v>Ολική</v>
      </c>
      <c r="J116">
        <f t="shared" si="11"/>
        <v>115</v>
      </c>
      <c r="K116" s="199">
        <f t="shared" si="8"/>
        <v>121</v>
      </c>
      <c r="L116" t="str">
        <f t="shared" si="9"/>
        <v>ΔΥΤΙΚΗΣ ΜΑΚΕΔΟΝΙΑΣ</v>
      </c>
      <c r="M116" t="str">
        <f t="shared" si="10"/>
        <v>ΔΥΤΙΚΗΣ ΜΑΚΕΔΟΝΙΑΣ - ΕΟΡΔΑΙΑΣ</v>
      </c>
      <c r="N116" s="197">
        <f t="shared" si="12"/>
        <v>14094</v>
      </c>
      <c r="O116" s="197" t="str">
        <f t="shared" si="13"/>
        <v>Εορδαίας</v>
      </c>
    </row>
    <row r="117" spans="1:15" x14ac:dyDescent="0.25">
      <c r="A117" s="199">
        <v>116</v>
      </c>
      <c r="B117" t="s">
        <v>405</v>
      </c>
      <c r="C117" t="s">
        <v>376</v>
      </c>
      <c r="D117" t="s">
        <v>156</v>
      </c>
      <c r="E117" t="str">
        <f t="shared" si="7"/>
        <v xml:space="preserve">ΔΥΤΙΚΗΣ ΕΛΛΑΔΑΣ - ΠΥΡΓΟΥ, </v>
      </c>
      <c r="F117" s="225" t="s">
        <v>690</v>
      </c>
      <c r="G117" s="225">
        <v>14380</v>
      </c>
      <c r="H117" t="str">
        <f>IFERROR(INDEX(DimosNaiOxi,MATCH(ΤΚ!E117,DimosNai,0)),"")</f>
        <v/>
      </c>
      <c r="I117" t="str">
        <f>LOOKUP(B117,ΠΕΡΙΦΕΡΕΙΑ!$A$2:$A$14,ΠΕΡΙΦΕΡΕΙΑ!$B$2:$B$14)</f>
        <v>Ολική</v>
      </c>
      <c r="J117">
        <f t="shared" si="11"/>
        <v>116</v>
      </c>
      <c r="K117" s="199">
        <f t="shared" si="8"/>
        <v>122</v>
      </c>
      <c r="L117" t="str">
        <f t="shared" si="9"/>
        <v>ΔΥΤΙΚΗΣ ΜΑΚΕΔΟΝΙΑΣ</v>
      </c>
      <c r="M117" t="str">
        <f t="shared" si="10"/>
        <v>ΔΥΤΙΚΗΣ ΜΑΚΕΔΟΝΙΑΣ - ΚΑΣΤΟΡΙΑΣ</v>
      </c>
      <c r="N117" s="197">
        <f t="shared" si="12"/>
        <v>14202</v>
      </c>
      <c r="O117" s="197" t="str">
        <f t="shared" si="13"/>
        <v>Καστοριάς</v>
      </c>
    </row>
    <row r="118" spans="1:15" x14ac:dyDescent="0.25">
      <c r="A118" s="199">
        <v>117</v>
      </c>
      <c r="B118" t="s">
        <v>406</v>
      </c>
      <c r="C118" t="s">
        <v>168</v>
      </c>
      <c r="D118" t="s">
        <v>166</v>
      </c>
      <c r="E118" t="str">
        <f t="shared" si="7"/>
        <v xml:space="preserve">ΔΥΤΙΚΗΣ ΜΑΚΕΔΟΝΙΑΣ - ΑΜΥΝΤΑΙΟΥ, </v>
      </c>
      <c r="F118" s="225" t="s">
        <v>691</v>
      </c>
      <c r="G118" s="225">
        <v>13974</v>
      </c>
      <c r="H118" t="str">
        <f>IFERROR(INDEX(DimosNaiOxi,MATCH(ΤΚ!E118,DimosNai,0)),"")</f>
        <v/>
      </c>
      <c r="I118" t="str">
        <f>LOOKUP(B118,ΠΕΡΙΦΕΡΕΙΑ!$A$2:$A$14,ΠΕΡΙΦΕΡΕΙΑ!$B$2:$B$14)</f>
        <v>Ολική</v>
      </c>
      <c r="J118">
        <f t="shared" si="11"/>
        <v>117</v>
      </c>
      <c r="K118" s="199">
        <f t="shared" si="8"/>
        <v>123</v>
      </c>
      <c r="L118" t="str">
        <f t="shared" si="9"/>
        <v>ΔΥΤΙΚΗΣ ΜΑΚΕΔΟΝΙΑΣ</v>
      </c>
      <c r="M118" t="str">
        <f t="shared" si="10"/>
        <v>ΔΥΤΙΚΗΣ ΜΑΚΕΔΟΝΙΑΣ - ΚΟΖΑΝΗΣ</v>
      </c>
      <c r="N118" s="197">
        <f t="shared" si="12"/>
        <v>14222</v>
      </c>
      <c r="O118" s="197" t="str">
        <f t="shared" si="13"/>
        <v>Κοζάνης</v>
      </c>
    </row>
    <row r="119" spans="1:15" x14ac:dyDescent="0.25">
      <c r="A119" s="199">
        <v>118</v>
      </c>
      <c r="B119" t="s">
        <v>406</v>
      </c>
      <c r="C119" t="s">
        <v>164</v>
      </c>
      <c r="D119" t="s">
        <v>162</v>
      </c>
      <c r="E119" t="str">
        <f t="shared" si="7"/>
        <v xml:space="preserve">ΔΥΤΙΚΗΣ ΜΑΚΕΔΟΝΙΑΣ - ΒΟΪΟΥ, </v>
      </c>
      <c r="F119" s="225" t="s">
        <v>692</v>
      </c>
      <c r="G119" s="225">
        <v>14034</v>
      </c>
      <c r="H119" t="str">
        <f>IFERROR(INDEX(DimosNaiOxi,MATCH(ΤΚ!E119,DimosNai,0)),"")</f>
        <v/>
      </c>
      <c r="I119" t="str">
        <f>LOOKUP(B119,ΠΕΡΙΦΕΡΕΙΑ!$A$2:$A$14,ΠΕΡΙΦΕΡΕΙΑ!$B$2:$B$14)</f>
        <v>Ολική</v>
      </c>
      <c r="J119">
        <f t="shared" si="11"/>
        <v>118</v>
      </c>
      <c r="K119" s="199">
        <f t="shared" si="8"/>
        <v>124</v>
      </c>
      <c r="L119" t="str">
        <f t="shared" si="9"/>
        <v>ΔΥΤΙΚΗΣ ΜΑΚΕΔΟΝΙΑΣ</v>
      </c>
      <c r="M119" t="str">
        <f t="shared" si="10"/>
        <v>ΔΥΤΙΚΗΣ ΜΑΚΕΔΟΝΙΑΣ - ΝΕΣΤΟΡΙΟΥ</v>
      </c>
      <c r="N119" s="197">
        <f t="shared" si="12"/>
        <v>14338</v>
      </c>
      <c r="O119" s="197" t="str">
        <f t="shared" si="13"/>
        <v>Νεστορίου</v>
      </c>
    </row>
    <row r="120" spans="1:15" x14ac:dyDescent="0.25">
      <c r="A120" s="199">
        <v>119</v>
      </c>
      <c r="B120" t="s">
        <v>406</v>
      </c>
      <c r="C120" t="s">
        <v>157</v>
      </c>
      <c r="D120" t="s">
        <v>157</v>
      </c>
      <c r="E120" t="str">
        <f t="shared" si="7"/>
        <v xml:space="preserve">ΔΥΤΙΚΗΣ ΜΑΚΕΔΟΝΙΑΣ - ΓΡΕΒΕΝΩΝ, </v>
      </c>
      <c r="F120" s="225" t="s">
        <v>693</v>
      </c>
      <c r="G120" s="225">
        <v>14050</v>
      </c>
      <c r="H120" t="str">
        <f>IFERROR(INDEX(DimosNaiOxi,MATCH(ΤΚ!E120,DimosNai,0)),"")</f>
        <v/>
      </c>
      <c r="I120" t="str">
        <f>LOOKUP(B120,ΠΕΡΙΦΕΡΕΙΑ!$A$2:$A$14,ΠΕΡΙΦΕΡΕΙΑ!$B$2:$B$14)</f>
        <v>Ολική</v>
      </c>
      <c r="J120">
        <f t="shared" si="11"/>
        <v>119</v>
      </c>
      <c r="K120" s="199">
        <f t="shared" si="8"/>
        <v>125</v>
      </c>
      <c r="L120" t="str">
        <f t="shared" si="9"/>
        <v>ΔΥΤΙΚΗΣ ΜΑΚΕΔΟΝΙΑΣ</v>
      </c>
      <c r="M120" t="str">
        <f t="shared" si="10"/>
        <v>ΔΥΤΙΚΗΣ ΜΑΚΕΔΟΝΙΑΣ - ΟΡΕΣΤΙΔΟΣ</v>
      </c>
      <c r="N120" s="197">
        <f t="shared" si="12"/>
        <v>14356</v>
      </c>
      <c r="O120" s="197" t="str">
        <f t="shared" si="13"/>
        <v>Ορεστίδος</v>
      </c>
    </row>
    <row r="121" spans="1:15" x14ac:dyDescent="0.25">
      <c r="A121" s="199">
        <v>120</v>
      </c>
      <c r="B121" t="s">
        <v>406</v>
      </c>
      <c r="C121" t="s">
        <v>157</v>
      </c>
      <c r="D121" t="s">
        <v>158</v>
      </c>
      <c r="E121" t="str">
        <f t="shared" si="7"/>
        <v xml:space="preserve">ΔΥΤΙΚΗΣ ΜΑΚΕΔΟΝΙΑΣ - ΔΕΣΚΑΤΗΣ, </v>
      </c>
      <c r="F121" s="225" t="s">
        <v>694</v>
      </c>
      <c r="G121" s="225">
        <v>14060</v>
      </c>
      <c r="H121" t="str">
        <f>IFERROR(INDEX(DimosNaiOxi,MATCH(ΤΚ!E121,DimosNai,0)),"")</f>
        <v/>
      </c>
      <c r="I121" t="str">
        <f>LOOKUP(B121,ΠΕΡΙΦΕΡΕΙΑ!$A$2:$A$14,ΠΕΡΙΦΕΡΕΙΑ!$B$2:$B$14)</f>
        <v>Ολική</v>
      </c>
      <c r="J121">
        <f t="shared" si="11"/>
        <v>120</v>
      </c>
      <c r="K121" s="199">
        <f t="shared" si="8"/>
        <v>126</v>
      </c>
      <c r="L121" t="str">
        <f t="shared" si="9"/>
        <v>ΔΥΤΙΚΗΣ ΜΑΚΕΔΟΝΙΑΣ</v>
      </c>
      <c r="M121" t="str">
        <f t="shared" si="10"/>
        <v>ΔΥΤΙΚΗΣ ΜΑΚΕΔΟΝΙΑΣ - ΠΡΕΣΠΩΝ</v>
      </c>
      <c r="N121" s="197">
        <f t="shared" si="12"/>
        <v>14422</v>
      </c>
      <c r="O121" s="197" t="str">
        <f t="shared" si="13"/>
        <v>Πρεσπών</v>
      </c>
    </row>
    <row r="122" spans="1:15" x14ac:dyDescent="0.25">
      <c r="A122" s="199">
        <v>121</v>
      </c>
      <c r="B122" t="s">
        <v>406</v>
      </c>
      <c r="C122" t="s">
        <v>164</v>
      </c>
      <c r="D122" t="s">
        <v>163</v>
      </c>
      <c r="E122" t="str">
        <f t="shared" si="7"/>
        <v xml:space="preserve">ΔΥΤΙΚΗΣ ΜΑΚΕΔΟΝΙΑΣ - ΕΟΡΔΑΙΑΣ, </v>
      </c>
      <c r="F122" s="225" t="s">
        <v>695</v>
      </c>
      <c r="G122" s="225">
        <v>14094</v>
      </c>
      <c r="H122" t="str">
        <f>IFERROR(INDEX(DimosNaiOxi,MATCH(ΤΚ!E122,DimosNai,0)),"")</f>
        <v/>
      </c>
      <c r="I122" t="str">
        <f>LOOKUP(B122,ΠΕΡΙΦΕΡΕΙΑ!$A$2:$A$14,ΠΕΡΙΦΕΡΕΙΑ!$B$2:$B$14)</f>
        <v>Ολική</v>
      </c>
      <c r="J122">
        <f t="shared" si="11"/>
        <v>121</v>
      </c>
      <c r="K122" s="199">
        <f t="shared" si="8"/>
        <v>127</v>
      </c>
      <c r="L122" t="str">
        <f t="shared" si="9"/>
        <v>ΔΥΤΙΚΗΣ ΜΑΚΕΔΟΝΙΑΣ</v>
      </c>
      <c r="M122" t="str">
        <f t="shared" si="10"/>
        <v>ΔΥΤΙΚΗΣ ΜΑΚΕΔΟΝΙΑΣ - ΣΕΡΒΙΩΝ – ΒΕΛΒΕΝΤΟΥ</v>
      </c>
      <c r="N122" s="197">
        <f t="shared" si="12"/>
        <v>14454</v>
      </c>
      <c r="O122" s="197" t="str">
        <f t="shared" si="13"/>
        <v>Σερβίων - Βελβεντού</v>
      </c>
    </row>
    <row r="123" spans="1:15" x14ac:dyDescent="0.25">
      <c r="A123" s="199">
        <v>122</v>
      </c>
      <c r="B123" t="s">
        <v>406</v>
      </c>
      <c r="C123" t="s">
        <v>159</v>
      </c>
      <c r="D123" t="s">
        <v>159</v>
      </c>
      <c r="E123" t="str">
        <f t="shared" si="7"/>
        <v xml:space="preserve">ΔΥΤΙΚΗΣ ΜΑΚΕΔΟΝΙΑΣ - ΚΑΣΤΟΡΙΑΣ, </v>
      </c>
      <c r="F123" s="225" t="s">
        <v>696</v>
      </c>
      <c r="G123" s="225">
        <v>14202</v>
      </c>
      <c r="H123" t="str">
        <f>IFERROR(INDEX(DimosNaiOxi,MATCH(ΤΚ!E123,DimosNai,0)),"")</f>
        <v/>
      </c>
      <c r="I123" t="str">
        <f>LOOKUP(B123,ΠΕΡΙΦΕΡΕΙΑ!$A$2:$A$14,ΠΕΡΙΦΕΡΕΙΑ!$B$2:$B$14)</f>
        <v>Ολική</v>
      </c>
      <c r="J123">
        <f t="shared" si="11"/>
        <v>122</v>
      </c>
      <c r="K123" s="199">
        <f t="shared" si="8"/>
        <v>128</v>
      </c>
      <c r="L123" t="str">
        <f t="shared" si="9"/>
        <v>ΔΥΤΙΚΗΣ ΜΑΚΕΔΟΝΙΑΣ</v>
      </c>
      <c r="M123" t="str">
        <f t="shared" si="10"/>
        <v>ΔΥΤΙΚΗΣ ΜΑΚΕΔΟΝΙΑΣ - ΦΛΩΡΙΝΑΣ</v>
      </c>
      <c r="N123" s="197">
        <f t="shared" si="12"/>
        <v>14524</v>
      </c>
      <c r="O123" s="197" t="str">
        <f t="shared" si="13"/>
        <v>Φλώρινας</v>
      </c>
    </row>
    <row r="124" spans="1:15" x14ac:dyDescent="0.25">
      <c r="A124" s="199">
        <v>123</v>
      </c>
      <c r="B124" t="s">
        <v>406</v>
      </c>
      <c r="C124" t="s">
        <v>164</v>
      </c>
      <c r="D124" t="s">
        <v>164</v>
      </c>
      <c r="E124" t="str">
        <f t="shared" si="7"/>
        <v xml:space="preserve">ΔΥΤΙΚΗΣ ΜΑΚΕΔΟΝΙΑΣ - ΚΟΖΑΝΗΣ, </v>
      </c>
      <c r="F124" s="225" t="s">
        <v>697</v>
      </c>
      <c r="G124" s="225">
        <v>14222</v>
      </c>
      <c r="H124" t="str">
        <f>IFERROR(INDEX(DimosNaiOxi,MATCH(ΤΚ!E124,DimosNai,0)),"")</f>
        <v/>
      </c>
      <c r="I124" t="str">
        <f>LOOKUP(B124,ΠΕΡΙΦΕΡΕΙΑ!$A$2:$A$14,ΠΕΡΙΦΕΡΕΙΑ!$B$2:$B$14)</f>
        <v>Ολική</v>
      </c>
      <c r="J124">
        <f t="shared" si="11"/>
        <v>123</v>
      </c>
      <c r="K124" s="199">
        <f t="shared" si="8"/>
        <v>129</v>
      </c>
      <c r="L124" t="str">
        <f t="shared" si="9"/>
        <v>ΗΠΕΙΡΟΥ</v>
      </c>
      <c r="M124" t="str">
        <f t="shared" si="10"/>
        <v>ΗΠΕΙΡΟΥ - ΑΡΤΑΙΩΝ</v>
      </c>
      <c r="N124" s="197">
        <f t="shared" si="12"/>
        <v>14002</v>
      </c>
      <c r="O124" s="197" t="str">
        <f t="shared" si="13"/>
        <v>Αρταίων</v>
      </c>
    </row>
    <row r="125" spans="1:15" x14ac:dyDescent="0.25">
      <c r="A125" s="199">
        <v>124</v>
      </c>
      <c r="B125" t="s">
        <v>406</v>
      </c>
      <c r="C125" t="s">
        <v>159</v>
      </c>
      <c r="D125" t="s">
        <v>160</v>
      </c>
      <c r="E125" t="str">
        <f t="shared" si="7"/>
        <v xml:space="preserve">ΔΥΤΙΚΗΣ ΜΑΚΕΔΟΝΙΑΣ - ΝΕΣΤΟΡΙΟΥ, </v>
      </c>
      <c r="F125" s="225" t="s">
        <v>698</v>
      </c>
      <c r="G125" s="225">
        <v>14338</v>
      </c>
      <c r="H125" t="str">
        <f>IFERROR(INDEX(DimosNaiOxi,MATCH(ΤΚ!E125,DimosNai,0)),"")</f>
        <v/>
      </c>
      <c r="I125" t="str">
        <f>LOOKUP(B125,ΠΕΡΙΦΕΡΕΙΑ!$A$2:$A$14,ΠΕΡΙΦΕΡΕΙΑ!$B$2:$B$14)</f>
        <v>Ολική</v>
      </c>
      <c r="J125">
        <f t="shared" si="11"/>
        <v>124</v>
      </c>
      <c r="K125" s="199">
        <f t="shared" si="8"/>
        <v>130</v>
      </c>
      <c r="L125" t="str">
        <f t="shared" si="9"/>
        <v>ΗΠΕΙΡΟΥ</v>
      </c>
      <c r="M125" t="str">
        <f t="shared" si="10"/>
        <v>ΗΠΕΙΡΟΥ - ΒΟΡΕΙΩΝ ΤΖΟΥΜΕΡΚΩΝ</v>
      </c>
      <c r="N125" s="197">
        <f t="shared" si="12"/>
        <v>14032</v>
      </c>
      <c r="O125" s="197" t="str">
        <f t="shared" si="13"/>
        <v>Βορείων Τζουμέρκων</v>
      </c>
    </row>
    <row r="126" spans="1:15" x14ac:dyDescent="0.25">
      <c r="A126" s="199">
        <v>125</v>
      </c>
      <c r="B126" t="s">
        <v>406</v>
      </c>
      <c r="C126" t="s">
        <v>159</v>
      </c>
      <c r="D126" t="s">
        <v>161</v>
      </c>
      <c r="E126" t="str">
        <f t="shared" si="7"/>
        <v xml:space="preserve">ΔΥΤΙΚΗΣ ΜΑΚΕΔΟΝΙΑΣ - ΟΡΕΣΤΙΔΟΣ, </v>
      </c>
      <c r="F126" s="225" t="s">
        <v>699</v>
      </c>
      <c r="G126" s="225">
        <v>14356</v>
      </c>
      <c r="H126" t="str">
        <f>IFERROR(INDEX(DimosNaiOxi,MATCH(ΤΚ!E126,DimosNai,0)),"")</f>
        <v/>
      </c>
      <c r="I126" t="str">
        <f>LOOKUP(B126,ΠΕΡΙΦΕΡΕΙΑ!$A$2:$A$14,ΠΕΡΙΦΕΡΕΙΑ!$B$2:$B$14)</f>
        <v>Ολική</v>
      </c>
      <c r="J126">
        <f t="shared" si="11"/>
        <v>125</v>
      </c>
      <c r="K126" s="199">
        <f t="shared" si="8"/>
        <v>131</v>
      </c>
      <c r="L126" t="str">
        <f t="shared" si="9"/>
        <v>ΗΠΕΙΡΟΥ</v>
      </c>
      <c r="M126" t="str">
        <f t="shared" si="10"/>
        <v>ΗΠΕΙΡΟΥ - ΓΕΩΡΓΙΟΥ ΚΑΡΑΪΣΚΑΚΗ</v>
      </c>
      <c r="N126" s="197">
        <f t="shared" si="12"/>
        <v>14044</v>
      </c>
      <c r="O126" s="197" t="str">
        <f t="shared" si="13"/>
        <v>Γεωργίου Καραϊσκάκη</v>
      </c>
    </row>
    <row r="127" spans="1:15" x14ac:dyDescent="0.25">
      <c r="A127" s="199">
        <v>126</v>
      </c>
      <c r="B127" t="s">
        <v>406</v>
      </c>
      <c r="C127" t="s">
        <v>168</v>
      </c>
      <c r="D127" t="s">
        <v>167</v>
      </c>
      <c r="E127" t="str">
        <f t="shared" si="7"/>
        <v xml:space="preserve">ΔΥΤΙΚΗΣ ΜΑΚΕΔΟΝΙΑΣ - ΠΡΕΣΠΩΝ, </v>
      </c>
      <c r="F127" s="225" t="s">
        <v>700</v>
      </c>
      <c r="G127" s="225">
        <v>14422</v>
      </c>
      <c r="H127" t="str">
        <f>IFERROR(INDEX(DimosNaiOxi,MATCH(ΤΚ!E127,DimosNai,0)),"")</f>
        <v/>
      </c>
      <c r="I127" t="str">
        <f>LOOKUP(B127,ΠΕΡΙΦΕΡΕΙΑ!$A$2:$A$14,ΠΕΡΙΦΕΡΕΙΑ!$B$2:$B$14)</f>
        <v>Ολική</v>
      </c>
      <c r="J127">
        <f t="shared" si="11"/>
        <v>126</v>
      </c>
      <c r="K127" s="199">
        <f t="shared" si="8"/>
        <v>132</v>
      </c>
      <c r="L127" t="str">
        <f t="shared" si="9"/>
        <v>ΗΠΕΙΡΟΥ</v>
      </c>
      <c r="M127" t="str">
        <f t="shared" si="10"/>
        <v>ΗΠΕΙΡΟΥ - ΔΩΔΩΝΗΣ</v>
      </c>
      <c r="N127" s="197">
        <f t="shared" si="12"/>
        <v>14080</v>
      </c>
      <c r="O127" s="197" t="str">
        <f t="shared" si="13"/>
        <v>Δωδώνης</v>
      </c>
    </row>
    <row r="128" spans="1:15" x14ac:dyDescent="0.25">
      <c r="A128" s="199">
        <v>127</v>
      </c>
      <c r="B128" t="s">
        <v>406</v>
      </c>
      <c r="C128" t="s">
        <v>164</v>
      </c>
      <c r="D128" t="s">
        <v>165</v>
      </c>
      <c r="E128" t="str">
        <f t="shared" si="7"/>
        <v xml:space="preserve">ΔΥΤΙΚΗΣ ΜΑΚΕΔΟΝΙΑΣ - ΣΕΡΒΙΩΝ – ΒΕΛΒΕΝΤΟΥ, </v>
      </c>
      <c r="F128" s="225" t="s">
        <v>701</v>
      </c>
      <c r="G128" s="225">
        <v>14454</v>
      </c>
      <c r="H128" t="str">
        <f>IFERROR(INDEX(DimosNaiOxi,MATCH(ΤΚ!E128,DimosNai,0)),"")</f>
        <v/>
      </c>
      <c r="I128" t="str">
        <f>LOOKUP(B128,ΠΕΡΙΦΕΡΕΙΑ!$A$2:$A$14,ΠΕΡΙΦΕΡΕΙΑ!$B$2:$B$14)</f>
        <v>Ολική</v>
      </c>
      <c r="J128">
        <f t="shared" si="11"/>
        <v>127</v>
      </c>
      <c r="K128" s="199">
        <f t="shared" si="8"/>
        <v>133</v>
      </c>
      <c r="L128" t="str">
        <f t="shared" si="9"/>
        <v>ΗΠΕΙΡΟΥ</v>
      </c>
      <c r="M128" t="str">
        <f t="shared" si="10"/>
        <v>ΗΠΕΙΡΟΥ - ΖΑΓΟΡΙΟΥ</v>
      </c>
      <c r="N128" s="197">
        <f t="shared" si="12"/>
        <v>14110</v>
      </c>
      <c r="O128" s="197" t="str">
        <f t="shared" si="13"/>
        <v>Ζαγορίου</v>
      </c>
    </row>
    <row r="129" spans="1:15" x14ac:dyDescent="0.25">
      <c r="A129" s="199">
        <v>128</v>
      </c>
      <c r="B129" t="s">
        <v>406</v>
      </c>
      <c r="C129" t="s">
        <v>168</v>
      </c>
      <c r="D129" t="s">
        <v>168</v>
      </c>
      <c r="E129" t="str">
        <f t="shared" si="7"/>
        <v xml:space="preserve">ΔΥΤΙΚΗΣ ΜΑΚΕΔΟΝΙΑΣ - ΦΛΩΡΙΝΑΣ, </v>
      </c>
      <c r="F129" s="225" t="s">
        <v>702</v>
      </c>
      <c r="G129" s="225">
        <v>14524</v>
      </c>
      <c r="H129" t="str">
        <f>IFERROR(INDEX(DimosNaiOxi,MATCH(ΤΚ!E129,DimosNai,0)),"")</f>
        <v/>
      </c>
      <c r="I129" t="str">
        <f>LOOKUP(B129,ΠΕΡΙΦΕΡΕΙΑ!$A$2:$A$14,ΠΕΡΙΦΕΡΕΙΑ!$B$2:$B$14)</f>
        <v>Ολική</v>
      </c>
      <c r="J129">
        <f t="shared" si="11"/>
        <v>128</v>
      </c>
      <c r="K129" s="199">
        <f t="shared" si="8"/>
        <v>134</v>
      </c>
      <c r="L129" t="str">
        <f t="shared" si="9"/>
        <v>ΗΠΕΙΡΟΥ</v>
      </c>
      <c r="M129" t="str">
        <f t="shared" si="10"/>
        <v>ΗΠΕΙΡΟΥ - ΖΗΡΟΥ</v>
      </c>
      <c r="N129" s="197">
        <f t="shared" si="12"/>
        <v>14116</v>
      </c>
      <c r="O129" s="197" t="str">
        <f t="shared" si="13"/>
        <v>Ζηρού</v>
      </c>
    </row>
    <row r="130" spans="1:15" x14ac:dyDescent="0.25">
      <c r="A130" s="199">
        <v>129</v>
      </c>
      <c r="B130" t="s">
        <v>407</v>
      </c>
      <c r="C130" t="s">
        <v>377</v>
      </c>
      <c r="D130" t="s">
        <v>169</v>
      </c>
      <c r="E130" t="str">
        <f t="shared" ref="E130:E193" si="14">B130&amp;" - "&amp;D130&amp;", "</f>
        <v xml:space="preserve">ΗΠΕΙΡΟΥ - ΑΡΤΑΙΩΝ, </v>
      </c>
      <c r="F130" s="225" t="s">
        <v>703</v>
      </c>
      <c r="G130" s="225">
        <v>14002</v>
      </c>
      <c r="H130" t="str">
        <f>IFERROR(INDEX(DimosNaiOxi,MATCH(ΤΚ!E130,DimosNai,0)),"")</f>
        <v/>
      </c>
      <c r="I130" t="str">
        <f>LOOKUP(B130,ΠΕΡΙΦΕΡΕΙΑ!$A$2:$A$14,ΠΕΡΙΦΕΡΕΙΑ!$B$2:$B$14)</f>
        <v>Ολική</v>
      </c>
      <c r="J130">
        <f t="shared" si="11"/>
        <v>129</v>
      </c>
      <c r="K130" s="199">
        <f t="shared" ref="K130:K193" si="15">SMALL(J:J,A130)</f>
        <v>135</v>
      </c>
      <c r="L130" t="str">
        <f t="shared" ref="L130:L193" si="16">IF(ISNUMBER(K130),LOOKUP(K130,A:A,B:B),"")</f>
        <v>ΗΠΕΙΡΟΥ</v>
      </c>
      <c r="M130" t="str">
        <f t="shared" ref="M130:M193" si="17">IF(ISNUMBER(K130),LOOKUP(K130,A:A,B:B)&amp;" - "&amp;LOOKUP(K130,A:A,D:D),"")</f>
        <v>ΗΠΕΙΡΟΥ - ΖΙΤΣΑΣ</v>
      </c>
      <c r="N130" s="197">
        <f t="shared" si="12"/>
        <v>14106</v>
      </c>
      <c r="O130" s="197" t="str">
        <f t="shared" si="13"/>
        <v>Ζίτσας</v>
      </c>
    </row>
    <row r="131" spans="1:15" x14ac:dyDescent="0.25">
      <c r="A131" s="199">
        <v>130</v>
      </c>
      <c r="B131" t="s">
        <v>407</v>
      </c>
      <c r="C131" t="s">
        <v>379</v>
      </c>
      <c r="D131" t="s">
        <v>176</v>
      </c>
      <c r="E131" t="str">
        <f t="shared" si="14"/>
        <v xml:space="preserve">ΗΠΕΙΡΟΥ - ΒΟΡΕΙΩΝ ΤΖΟΥΜΕΡΚΩΝ, </v>
      </c>
      <c r="F131" s="225" t="s">
        <v>704</v>
      </c>
      <c r="G131" s="225">
        <v>14032</v>
      </c>
      <c r="H131" t="str">
        <f>IFERROR(INDEX(DimosNaiOxi,MATCH(ΤΚ!E131,DimosNai,0)),"")</f>
        <v/>
      </c>
      <c r="I131" t="str">
        <f>LOOKUP(B131,ΠΕΡΙΦΕΡΕΙΑ!$A$2:$A$14,ΠΕΡΙΦΕΡΕΙΑ!$B$2:$B$14)</f>
        <v>Ολική</v>
      </c>
      <c r="J131">
        <f t="shared" ref="J131:J194" si="18">IF(OR(AND(I131="Μερική",H131="ΝΑΙ"),I131="Ολική"),A131,"")</f>
        <v>130</v>
      </c>
      <c r="K131" s="199">
        <f t="shared" si="15"/>
        <v>136</v>
      </c>
      <c r="L131" t="str">
        <f t="shared" si="16"/>
        <v>ΗΠΕΙΡΟΥ</v>
      </c>
      <c r="M131" t="str">
        <f t="shared" si="17"/>
        <v>ΗΠΕΙΡΟΥ - ΗΓΟΥΜΕΝΙΤΣΑΣ</v>
      </c>
      <c r="N131" s="197">
        <f t="shared" ref="N131:N194" si="19">IF(ISNUMBER(K131),LOOKUP(K131,A:A,G:G),"")</f>
        <v>14120</v>
      </c>
      <c r="O131" s="197" t="str">
        <f t="shared" ref="O131:O194" si="20">IF(ISNUMBER(K131),LOOKUP(K131,A:A,F:F),"")</f>
        <v>Ηγουμενίτσας</v>
      </c>
    </row>
    <row r="132" spans="1:15" x14ac:dyDescent="0.25">
      <c r="A132" s="199">
        <v>131</v>
      </c>
      <c r="B132" t="s">
        <v>407</v>
      </c>
      <c r="C132" t="s">
        <v>377</v>
      </c>
      <c r="D132" t="s">
        <v>170</v>
      </c>
      <c r="E132" t="str">
        <f t="shared" si="14"/>
        <v xml:space="preserve">ΗΠΕΙΡΟΥ - ΓΕΩΡΓΙΟΥ ΚΑΡΑΪΣΚΑΚΗ, </v>
      </c>
      <c r="F132" s="225" t="s">
        <v>705</v>
      </c>
      <c r="G132" s="225">
        <v>14044</v>
      </c>
      <c r="H132" t="str">
        <f>IFERROR(INDEX(DimosNaiOxi,MATCH(ΤΚ!E132,DimosNai,0)),"")</f>
        <v/>
      </c>
      <c r="I132" t="str">
        <f>LOOKUP(B132,ΠΕΡΙΦΕΡΕΙΑ!$A$2:$A$14,ΠΕΡΙΦΕΡΕΙΑ!$B$2:$B$14)</f>
        <v>Ολική</v>
      </c>
      <c r="J132">
        <f t="shared" si="18"/>
        <v>131</v>
      </c>
      <c r="K132" s="199">
        <f t="shared" si="15"/>
        <v>137</v>
      </c>
      <c r="L132" t="str">
        <f t="shared" si="16"/>
        <v>ΗΠΕΙΡΟΥ</v>
      </c>
      <c r="M132" t="str">
        <f t="shared" si="17"/>
        <v>ΗΠΕΙΡΟΥ - ΙΩΑΝΝΙΤΩΝ</v>
      </c>
      <c r="N132" s="197">
        <f t="shared" si="19"/>
        <v>14158</v>
      </c>
      <c r="O132" s="197" t="str">
        <f t="shared" si="20"/>
        <v>Ιωαννιτών</v>
      </c>
    </row>
    <row r="133" spans="1:15" x14ac:dyDescent="0.25">
      <c r="A133" s="199">
        <v>132</v>
      </c>
      <c r="B133" t="s">
        <v>407</v>
      </c>
      <c r="C133" t="s">
        <v>379</v>
      </c>
      <c r="D133" t="s">
        <v>177</v>
      </c>
      <c r="E133" t="str">
        <f t="shared" si="14"/>
        <v xml:space="preserve">ΗΠΕΙΡΟΥ - ΔΩΔΩΝΗΣ, </v>
      </c>
      <c r="F133" s="225" t="s">
        <v>706</v>
      </c>
      <c r="G133" s="225">
        <v>14080</v>
      </c>
      <c r="H133" t="str">
        <f>IFERROR(INDEX(DimosNaiOxi,MATCH(ΤΚ!E133,DimosNai,0)),"")</f>
        <v/>
      </c>
      <c r="I133" t="str">
        <f>LOOKUP(B133,ΠΕΡΙΦΕΡΕΙΑ!$A$2:$A$14,ΠΕΡΙΦΕΡΕΙΑ!$B$2:$B$14)</f>
        <v>Ολική</v>
      </c>
      <c r="J133">
        <f t="shared" si="18"/>
        <v>132</v>
      </c>
      <c r="K133" s="199">
        <f t="shared" si="15"/>
        <v>138</v>
      </c>
      <c r="L133" t="str">
        <f t="shared" si="16"/>
        <v>ΗΠΕΙΡΟΥ</v>
      </c>
      <c r="M133" t="str">
        <f t="shared" si="17"/>
        <v>ΗΠΕΙΡΟΥ - ΚΕΝΤΡΙΚΩΝ ΤΖΟΥΜΕΡΚΩΝ</v>
      </c>
      <c r="N133" s="197">
        <f t="shared" si="19"/>
        <v>14206</v>
      </c>
      <c r="O133" s="197" t="str">
        <f t="shared" si="20"/>
        <v>Κεντρικών Τζουμέρκων</v>
      </c>
    </row>
    <row r="134" spans="1:15" x14ac:dyDescent="0.25">
      <c r="A134" s="199">
        <v>133</v>
      </c>
      <c r="B134" t="s">
        <v>407</v>
      </c>
      <c r="C134" t="s">
        <v>379</v>
      </c>
      <c r="D134" t="s">
        <v>178</v>
      </c>
      <c r="E134" t="str">
        <f t="shared" si="14"/>
        <v xml:space="preserve">ΗΠΕΙΡΟΥ - ΖΑΓΟΡΙΟΥ, </v>
      </c>
      <c r="F134" s="225" t="s">
        <v>707</v>
      </c>
      <c r="G134" s="225">
        <v>14110</v>
      </c>
      <c r="H134" t="str">
        <f>IFERROR(INDEX(DimosNaiOxi,MATCH(ΤΚ!E134,DimosNai,0)),"")</f>
        <v/>
      </c>
      <c r="I134" t="str">
        <f>LOOKUP(B134,ΠΕΡΙΦΕΡΕΙΑ!$A$2:$A$14,ΠΕΡΙΦΕΡΕΙΑ!$B$2:$B$14)</f>
        <v>Ολική</v>
      </c>
      <c r="J134">
        <f t="shared" si="18"/>
        <v>133</v>
      </c>
      <c r="K134" s="199">
        <f t="shared" si="15"/>
        <v>139</v>
      </c>
      <c r="L134" t="str">
        <f t="shared" si="16"/>
        <v>ΗΠΕΙΡΟΥ</v>
      </c>
      <c r="M134" t="str">
        <f t="shared" si="17"/>
        <v>ΗΠΕΙΡΟΥ - ΚΟΝΙΤΣΑΣ</v>
      </c>
      <c r="N134" s="197">
        <f t="shared" si="19"/>
        <v>14168</v>
      </c>
      <c r="O134" s="197" t="str">
        <f t="shared" si="20"/>
        <v>Κόνιτσας</v>
      </c>
    </row>
    <row r="135" spans="1:15" x14ac:dyDescent="0.25">
      <c r="A135" s="199">
        <v>134</v>
      </c>
      <c r="B135" t="s">
        <v>407</v>
      </c>
      <c r="C135" t="s">
        <v>186</v>
      </c>
      <c r="D135" t="s">
        <v>184</v>
      </c>
      <c r="E135" t="str">
        <f t="shared" si="14"/>
        <v xml:space="preserve">ΗΠΕΙΡΟΥ - ΖΗΡΟΥ, </v>
      </c>
      <c r="F135" s="225" t="s">
        <v>708</v>
      </c>
      <c r="G135" s="225">
        <v>14116</v>
      </c>
      <c r="H135" t="str">
        <f>IFERROR(INDEX(DimosNaiOxi,MATCH(ΤΚ!E135,DimosNai,0)),"")</f>
        <v/>
      </c>
      <c r="I135" t="str">
        <f>LOOKUP(B135,ΠΕΡΙΦΕΡΕΙΑ!$A$2:$A$14,ΠΕΡΙΦΕΡΕΙΑ!$B$2:$B$14)</f>
        <v>Ολική</v>
      </c>
      <c r="J135">
        <f t="shared" si="18"/>
        <v>134</v>
      </c>
      <c r="K135" s="199">
        <f t="shared" si="15"/>
        <v>140</v>
      </c>
      <c r="L135" t="str">
        <f t="shared" si="16"/>
        <v>ΗΠΕΙΡΟΥ</v>
      </c>
      <c r="M135" t="str">
        <f t="shared" si="17"/>
        <v>ΗΠΕΙΡΟΥ - ΜΕΤΣΟΒΟΥ</v>
      </c>
      <c r="N135" s="197">
        <f t="shared" si="19"/>
        <v>14298</v>
      </c>
      <c r="O135" s="197" t="str">
        <f t="shared" si="20"/>
        <v>Μετσόβου</v>
      </c>
    </row>
    <row r="136" spans="1:15" x14ac:dyDescent="0.25">
      <c r="A136" s="199">
        <v>135</v>
      </c>
      <c r="B136" t="s">
        <v>407</v>
      </c>
      <c r="C136" t="s">
        <v>379</v>
      </c>
      <c r="D136" t="s">
        <v>179</v>
      </c>
      <c r="E136" t="str">
        <f t="shared" si="14"/>
        <v xml:space="preserve">ΗΠΕΙΡΟΥ - ΖΙΤΣΑΣ, </v>
      </c>
      <c r="F136" s="225" t="s">
        <v>709</v>
      </c>
      <c r="G136" s="225">
        <v>14106</v>
      </c>
      <c r="H136" t="str">
        <f>IFERROR(INDEX(DimosNaiOxi,MATCH(ΤΚ!E136,DimosNai,0)),"")</f>
        <v/>
      </c>
      <c r="I136" t="str">
        <f>LOOKUP(B136,ΠΕΡΙΦΕΡΕΙΑ!$A$2:$A$14,ΠΕΡΙΦΕΡΕΙΑ!$B$2:$B$14)</f>
        <v>Ολική</v>
      </c>
      <c r="J136">
        <f t="shared" si="18"/>
        <v>135</v>
      </c>
      <c r="K136" s="199">
        <f t="shared" si="15"/>
        <v>141</v>
      </c>
      <c r="L136" t="str">
        <f t="shared" si="16"/>
        <v>ΗΠΕΙΡΟΥ</v>
      </c>
      <c r="M136" t="str">
        <f t="shared" si="17"/>
        <v>ΗΠΕΙΡΟΥ - ΝΙΚΟΛΑΟΥ ΣΚΟΥΦΑ</v>
      </c>
      <c r="N136" s="197">
        <f t="shared" si="19"/>
        <v>14340</v>
      </c>
      <c r="O136" s="197" t="str">
        <f t="shared" si="20"/>
        <v>Νικολάου Σκουφά</v>
      </c>
    </row>
    <row r="137" spans="1:15" x14ac:dyDescent="0.25">
      <c r="A137" s="199">
        <v>136</v>
      </c>
      <c r="B137" t="s">
        <v>407</v>
      </c>
      <c r="C137" t="s">
        <v>378</v>
      </c>
      <c r="D137" t="s">
        <v>173</v>
      </c>
      <c r="E137" t="str">
        <f t="shared" si="14"/>
        <v xml:space="preserve">ΗΠΕΙΡΟΥ - ΗΓΟΥΜΕΝΙΤΣΑΣ, </v>
      </c>
      <c r="F137" s="225" t="s">
        <v>710</v>
      </c>
      <c r="G137" s="225">
        <v>14120</v>
      </c>
      <c r="H137" t="str">
        <f>IFERROR(INDEX(DimosNaiOxi,MATCH(ΤΚ!E137,DimosNai,0)),"")</f>
        <v/>
      </c>
      <c r="I137" t="str">
        <f>LOOKUP(B137,ΠΕΡΙΦΕΡΕΙΑ!$A$2:$A$14,ΠΕΡΙΦΕΡΕΙΑ!$B$2:$B$14)</f>
        <v>Ολική</v>
      </c>
      <c r="J137">
        <f t="shared" si="18"/>
        <v>136</v>
      </c>
      <c r="K137" s="199">
        <f t="shared" si="15"/>
        <v>142</v>
      </c>
      <c r="L137" t="str">
        <f t="shared" si="16"/>
        <v>ΗΠΕΙΡΟΥ</v>
      </c>
      <c r="M137" t="str">
        <f t="shared" si="17"/>
        <v>ΗΠΕΙΡΟΥ - ΠΑΡΓΑΣ</v>
      </c>
      <c r="N137" s="197">
        <f t="shared" si="19"/>
        <v>14364</v>
      </c>
      <c r="O137" s="197" t="str">
        <f t="shared" si="20"/>
        <v>Πάργας</v>
      </c>
    </row>
    <row r="138" spans="1:15" x14ac:dyDescent="0.25">
      <c r="A138" s="199">
        <v>137</v>
      </c>
      <c r="B138" t="s">
        <v>407</v>
      </c>
      <c r="C138" t="s">
        <v>379</v>
      </c>
      <c r="D138" t="s">
        <v>180</v>
      </c>
      <c r="E138" t="str">
        <f t="shared" si="14"/>
        <v xml:space="preserve">ΗΠΕΙΡΟΥ - ΙΩΑΝΝΙΤΩΝ, </v>
      </c>
      <c r="F138" s="225" t="s">
        <v>711</v>
      </c>
      <c r="G138" s="225">
        <v>14158</v>
      </c>
      <c r="H138" t="str">
        <f>IFERROR(INDEX(DimosNaiOxi,MATCH(ΤΚ!E138,DimosNai,0)),"")</f>
        <v/>
      </c>
      <c r="I138" t="str">
        <f>LOOKUP(B138,ΠΕΡΙΦΕΡΕΙΑ!$A$2:$A$14,ΠΕΡΙΦΕΡΕΙΑ!$B$2:$B$14)</f>
        <v>Ολική</v>
      </c>
      <c r="J138">
        <f t="shared" si="18"/>
        <v>137</v>
      </c>
      <c r="K138" s="199">
        <f t="shared" si="15"/>
        <v>143</v>
      </c>
      <c r="L138" t="str">
        <f t="shared" si="16"/>
        <v>ΗΠΕΙΡΟΥ</v>
      </c>
      <c r="M138" t="str">
        <f t="shared" si="17"/>
        <v>ΗΠΕΙΡΟΥ - ΠΡΕΒΕΖΑΣ</v>
      </c>
      <c r="N138" s="197">
        <f t="shared" si="19"/>
        <v>14420</v>
      </c>
      <c r="O138" s="197" t="str">
        <f t="shared" si="20"/>
        <v>Πρέβεζας</v>
      </c>
    </row>
    <row r="139" spans="1:15" x14ac:dyDescent="0.25">
      <c r="A139" s="199">
        <v>138</v>
      </c>
      <c r="B139" t="s">
        <v>407</v>
      </c>
      <c r="C139" t="s">
        <v>377</v>
      </c>
      <c r="D139" t="s">
        <v>171</v>
      </c>
      <c r="E139" t="str">
        <f t="shared" si="14"/>
        <v xml:space="preserve">ΗΠΕΙΡΟΥ - ΚΕΝΤΡΙΚΩΝ ΤΖΟΥΜΕΡΚΩΝ, </v>
      </c>
      <c r="F139" s="225" t="s">
        <v>712</v>
      </c>
      <c r="G139" s="225">
        <v>14206</v>
      </c>
      <c r="H139" t="str">
        <f>IFERROR(INDEX(DimosNaiOxi,MATCH(ΤΚ!E139,DimosNai,0)),"")</f>
        <v/>
      </c>
      <c r="I139" t="str">
        <f>LOOKUP(B139,ΠΕΡΙΦΕΡΕΙΑ!$A$2:$A$14,ΠΕΡΙΦΕΡΕΙΑ!$B$2:$B$14)</f>
        <v>Ολική</v>
      </c>
      <c r="J139">
        <f t="shared" si="18"/>
        <v>138</v>
      </c>
      <c r="K139" s="199">
        <f t="shared" si="15"/>
        <v>144</v>
      </c>
      <c r="L139" t="str">
        <f t="shared" si="16"/>
        <v>ΗΠΕΙΡΟΥ</v>
      </c>
      <c r="M139" t="str">
        <f t="shared" si="17"/>
        <v>ΗΠΕΙΡΟΥ - ΠΩΓΩΝΙΟΥ</v>
      </c>
      <c r="N139" s="197">
        <f t="shared" si="19"/>
        <v>14428</v>
      </c>
      <c r="O139" s="197" t="str">
        <f t="shared" si="20"/>
        <v>Πωγωνίου</v>
      </c>
    </row>
    <row r="140" spans="1:15" x14ac:dyDescent="0.25">
      <c r="A140" s="199">
        <v>139</v>
      </c>
      <c r="B140" t="s">
        <v>407</v>
      </c>
      <c r="C140" t="s">
        <v>379</v>
      </c>
      <c r="D140" t="s">
        <v>181</v>
      </c>
      <c r="E140" t="str">
        <f t="shared" si="14"/>
        <v xml:space="preserve">ΗΠΕΙΡΟΥ - ΚΟΝΙΤΣΑΣ, </v>
      </c>
      <c r="F140" s="225" t="s">
        <v>713</v>
      </c>
      <c r="G140" s="225">
        <v>14168</v>
      </c>
      <c r="H140" t="str">
        <f>IFERROR(INDEX(DimosNaiOxi,MATCH(ΤΚ!E140,DimosNai,0)),"")</f>
        <v/>
      </c>
      <c r="I140" t="str">
        <f>LOOKUP(B140,ΠΕΡΙΦΕΡΕΙΑ!$A$2:$A$14,ΠΕΡΙΦΕΡΕΙΑ!$B$2:$B$14)</f>
        <v>Ολική</v>
      </c>
      <c r="J140">
        <f t="shared" si="18"/>
        <v>139</v>
      </c>
      <c r="K140" s="199">
        <f t="shared" si="15"/>
        <v>145</v>
      </c>
      <c r="L140" t="str">
        <f t="shared" si="16"/>
        <v>ΗΠΕΙΡΟΥ</v>
      </c>
      <c r="M140" t="str">
        <f t="shared" si="17"/>
        <v>ΗΠΕΙΡΟΥ - ΣΟΥΛΙΟΥ</v>
      </c>
      <c r="N140" s="197">
        <f t="shared" si="19"/>
        <v>14476</v>
      </c>
      <c r="O140" s="197" t="str">
        <f t="shared" si="20"/>
        <v>Σουλίου</v>
      </c>
    </row>
    <row r="141" spans="1:15" x14ac:dyDescent="0.25">
      <c r="A141" s="199">
        <v>140</v>
      </c>
      <c r="B141" t="s">
        <v>407</v>
      </c>
      <c r="C141" t="s">
        <v>379</v>
      </c>
      <c r="D141" t="s">
        <v>182</v>
      </c>
      <c r="E141" t="str">
        <f t="shared" si="14"/>
        <v xml:space="preserve">ΗΠΕΙΡΟΥ - ΜΕΤΣΟΒΟΥ, </v>
      </c>
      <c r="F141" s="225" t="s">
        <v>714</v>
      </c>
      <c r="G141" s="225">
        <v>14298</v>
      </c>
      <c r="H141" t="str">
        <f>IFERROR(INDEX(DimosNaiOxi,MATCH(ΤΚ!E141,DimosNai,0)),"")</f>
        <v/>
      </c>
      <c r="I141" t="str">
        <f>LOOKUP(B141,ΠΕΡΙΦΕΡΕΙΑ!$A$2:$A$14,ΠΕΡΙΦΕΡΕΙΑ!$B$2:$B$14)</f>
        <v>Ολική</v>
      </c>
      <c r="J141">
        <f t="shared" si="18"/>
        <v>140</v>
      </c>
      <c r="K141" s="199">
        <f t="shared" si="15"/>
        <v>146</v>
      </c>
      <c r="L141" t="str">
        <f t="shared" si="16"/>
        <v>ΗΠΕΙΡΟΥ</v>
      </c>
      <c r="M141" t="str">
        <f t="shared" si="17"/>
        <v>ΗΠΕΙΡΟΥ - ΦΙΛΙΑΤΩΝ</v>
      </c>
      <c r="N141" s="197">
        <f t="shared" si="19"/>
        <v>14520</v>
      </c>
      <c r="O141" s="197" t="str">
        <f t="shared" si="20"/>
        <v>Φιλιατών</v>
      </c>
    </row>
    <row r="142" spans="1:15" x14ac:dyDescent="0.25">
      <c r="A142" s="199">
        <v>141</v>
      </c>
      <c r="B142" t="s">
        <v>407</v>
      </c>
      <c r="C142" t="s">
        <v>377</v>
      </c>
      <c r="D142" t="s">
        <v>172</v>
      </c>
      <c r="E142" t="str">
        <f t="shared" si="14"/>
        <v xml:space="preserve">ΗΠΕΙΡΟΥ - ΝΙΚΟΛΑΟΥ ΣΚΟΥΦΑ, </v>
      </c>
      <c r="F142" s="225" t="s">
        <v>715</v>
      </c>
      <c r="G142" s="225">
        <v>14340</v>
      </c>
      <c r="H142" t="str">
        <f>IFERROR(INDEX(DimosNaiOxi,MATCH(ΤΚ!E142,DimosNai,0)),"")</f>
        <v/>
      </c>
      <c r="I142" t="str">
        <f>LOOKUP(B142,ΠΕΡΙΦΕΡΕΙΑ!$A$2:$A$14,ΠΕΡΙΦΕΡΕΙΑ!$B$2:$B$14)</f>
        <v>Ολική</v>
      </c>
      <c r="J142">
        <f t="shared" si="18"/>
        <v>141</v>
      </c>
      <c r="K142" s="199">
        <f t="shared" si="15"/>
        <v>147</v>
      </c>
      <c r="L142" t="str">
        <f t="shared" si="16"/>
        <v>ΘΕΣΣΑΛΙΑΣ</v>
      </c>
      <c r="M142" t="str">
        <f t="shared" si="17"/>
        <v>ΘΕΣΣΑΛΙΑΣ - ΑΓΙΑΣ</v>
      </c>
      <c r="N142" s="197">
        <f t="shared" si="19"/>
        <v>13938</v>
      </c>
      <c r="O142" s="197" t="str">
        <f t="shared" si="20"/>
        <v>Αγιάς</v>
      </c>
    </row>
    <row r="143" spans="1:15" x14ac:dyDescent="0.25">
      <c r="A143" s="199">
        <v>142</v>
      </c>
      <c r="B143" t="s">
        <v>407</v>
      </c>
      <c r="C143" t="s">
        <v>186</v>
      </c>
      <c r="D143" t="s">
        <v>185</v>
      </c>
      <c r="E143" t="str">
        <f t="shared" si="14"/>
        <v xml:space="preserve">ΗΠΕΙΡΟΥ - ΠΑΡΓΑΣ, </v>
      </c>
      <c r="F143" s="225" t="s">
        <v>716</v>
      </c>
      <c r="G143" s="225">
        <v>14364</v>
      </c>
      <c r="H143" t="str">
        <f>IFERROR(INDEX(DimosNaiOxi,MATCH(ΤΚ!E143,DimosNai,0)),"")</f>
        <v/>
      </c>
      <c r="I143" t="str">
        <f>LOOKUP(B143,ΠΕΡΙΦΕΡΕΙΑ!$A$2:$A$14,ΠΕΡΙΦΕΡΕΙΑ!$B$2:$B$14)</f>
        <v>Ολική</v>
      </c>
      <c r="J143">
        <f t="shared" si="18"/>
        <v>142</v>
      </c>
      <c r="K143" s="199">
        <f t="shared" si="15"/>
        <v>148</v>
      </c>
      <c r="L143" t="str">
        <f t="shared" si="16"/>
        <v>ΘΕΣΣΑΛΙΑΣ</v>
      </c>
      <c r="M143" t="str">
        <f t="shared" si="17"/>
        <v>ΘΕΣΣΑΛΙΑΣ - ΑΛΜΥΡΟΥ</v>
      </c>
      <c r="N143" s="197">
        <f t="shared" si="19"/>
        <v>13960</v>
      </c>
      <c r="O143" s="197" t="str">
        <f t="shared" si="20"/>
        <v>Αλμυρού</v>
      </c>
    </row>
    <row r="144" spans="1:15" x14ac:dyDescent="0.25">
      <c r="A144" s="199">
        <v>143</v>
      </c>
      <c r="B144" t="s">
        <v>407</v>
      </c>
      <c r="C144" t="s">
        <v>186</v>
      </c>
      <c r="D144" t="s">
        <v>186</v>
      </c>
      <c r="E144" t="str">
        <f t="shared" si="14"/>
        <v xml:space="preserve">ΗΠΕΙΡΟΥ - ΠΡΕΒΕΖΑΣ, </v>
      </c>
      <c r="F144" s="225" t="s">
        <v>717</v>
      </c>
      <c r="G144" s="225">
        <v>14420</v>
      </c>
      <c r="H144" t="str">
        <f>IFERROR(INDEX(DimosNaiOxi,MATCH(ΤΚ!E144,DimosNai,0)),"")</f>
        <v/>
      </c>
      <c r="I144" t="str">
        <f>LOOKUP(B144,ΠΕΡΙΦΕΡΕΙΑ!$A$2:$A$14,ΠΕΡΙΦΕΡΕΙΑ!$B$2:$B$14)</f>
        <v>Ολική</v>
      </c>
      <c r="J144">
        <f t="shared" si="18"/>
        <v>143</v>
      </c>
      <c r="K144" s="199">
        <f t="shared" si="15"/>
        <v>149</v>
      </c>
      <c r="L144" t="str">
        <f t="shared" si="16"/>
        <v>ΘΕΣΣΑΛΙΑΣ</v>
      </c>
      <c r="M144" t="str">
        <f t="shared" si="17"/>
        <v>ΘΕΣΣΑΛΙΑΣ - ΑΛΟΝΝΗΣΟΥ</v>
      </c>
      <c r="N144" s="197">
        <f t="shared" si="19"/>
        <v>13964</v>
      </c>
      <c r="O144" s="197" t="str">
        <f t="shared" si="20"/>
        <v>Αλοννήσου</v>
      </c>
    </row>
    <row r="145" spans="1:15" x14ac:dyDescent="0.25">
      <c r="A145" s="199">
        <v>144</v>
      </c>
      <c r="B145" t="s">
        <v>407</v>
      </c>
      <c r="C145" t="s">
        <v>379</v>
      </c>
      <c r="D145" t="s">
        <v>183</v>
      </c>
      <c r="E145" t="str">
        <f t="shared" si="14"/>
        <v xml:space="preserve">ΗΠΕΙΡΟΥ - ΠΩΓΩΝΙΟΥ, </v>
      </c>
      <c r="F145" s="225" t="s">
        <v>718</v>
      </c>
      <c r="G145" s="225">
        <v>14428</v>
      </c>
      <c r="H145" t="str">
        <f>IFERROR(INDEX(DimosNaiOxi,MATCH(ΤΚ!E145,DimosNai,0)),"")</f>
        <v/>
      </c>
      <c r="I145" t="str">
        <f>LOOKUP(B145,ΠΕΡΙΦΕΡΕΙΑ!$A$2:$A$14,ΠΕΡΙΦΕΡΕΙΑ!$B$2:$B$14)</f>
        <v>Ολική</v>
      </c>
      <c r="J145">
        <f t="shared" si="18"/>
        <v>144</v>
      </c>
      <c r="K145" s="199">
        <f t="shared" si="15"/>
        <v>150</v>
      </c>
      <c r="L145" t="str">
        <f t="shared" si="16"/>
        <v>ΘΕΣΣΑΛΙΑΣ</v>
      </c>
      <c r="M145" t="str">
        <f t="shared" si="17"/>
        <v>ΘΕΣΣΑΛΙΑΣ - ΑΡΓΙΘΕΑΣ</v>
      </c>
      <c r="N145" s="197">
        <f t="shared" si="19"/>
        <v>13996</v>
      </c>
      <c r="O145" s="197" t="str">
        <f t="shared" si="20"/>
        <v>Αργιθέας</v>
      </c>
    </row>
    <row r="146" spans="1:15" x14ac:dyDescent="0.25">
      <c r="A146" s="199">
        <v>145</v>
      </c>
      <c r="B146" t="s">
        <v>407</v>
      </c>
      <c r="C146" t="s">
        <v>378</v>
      </c>
      <c r="D146" t="s">
        <v>174</v>
      </c>
      <c r="E146" t="str">
        <f t="shared" si="14"/>
        <v xml:space="preserve">ΗΠΕΙΡΟΥ - ΣΟΥΛΙΟΥ, </v>
      </c>
      <c r="F146" s="225" t="s">
        <v>719</v>
      </c>
      <c r="G146" s="225">
        <v>14476</v>
      </c>
      <c r="H146" t="str">
        <f>IFERROR(INDEX(DimosNaiOxi,MATCH(ΤΚ!E146,DimosNai,0)),"")</f>
        <v/>
      </c>
      <c r="I146" t="str">
        <f>LOOKUP(B146,ΠΕΡΙΦΕΡΕΙΑ!$A$2:$A$14,ΠΕΡΙΦΕΡΕΙΑ!$B$2:$B$14)</f>
        <v>Ολική</v>
      </c>
      <c r="J146">
        <f t="shared" si="18"/>
        <v>145</v>
      </c>
      <c r="K146" s="199">
        <f t="shared" si="15"/>
        <v>151</v>
      </c>
      <c r="L146" t="str">
        <f t="shared" si="16"/>
        <v>ΘΕΣΣΑΛΙΑΣ</v>
      </c>
      <c r="M146" t="str">
        <f t="shared" si="17"/>
        <v>ΘΕΣΣΑΛΙΑΣ - ΒΟΛΟΥ</v>
      </c>
      <c r="N146" s="197">
        <f t="shared" si="19"/>
        <v>14022</v>
      </c>
      <c r="O146" s="197" t="str">
        <f t="shared" si="20"/>
        <v>Βόλου</v>
      </c>
    </row>
    <row r="147" spans="1:15" x14ac:dyDescent="0.25">
      <c r="A147" s="199">
        <v>146</v>
      </c>
      <c r="B147" t="s">
        <v>407</v>
      </c>
      <c r="C147" t="s">
        <v>378</v>
      </c>
      <c r="D147" t="s">
        <v>175</v>
      </c>
      <c r="E147" t="str">
        <f t="shared" si="14"/>
        <v xml:space="preserve">ΗΠΕΙΡΟΥ - ΦΙΛΙΑΤΩΝ, </v>
      </c>
      <c r="F147" s="225" t="s">
        <v>720</v>
      </c>
      <c r="G147" s="225">
        <v>14520</v>
      </c>
      <c r="H147" t="str">
        <f>IFERROR(INDEX(DimosNaiOxi,MATCH(ΤΚ!E147,DimosNai,0)),"")</f>
        <v/>
      </c>
      <c r="I147" t="str">
        <f>LOOKUP(B147,ΠΕΡΙΦΕΡΕΙΑ!$A$2:$A$14,ΠΕΡΙΦΕΡΕΙΑ!$B$2:$B$14)</f>
        <v>Ολική</v>
      </c>
      <c r="J147">
        <f t="shared" si="18"/>
        <v>146</v>
      </c>
      <c r="K147" s="199">
        <f t="shared" si="15"/>
        <v>152</v>
      </c>
      <c r="L147" t="str">
        <f t="shared" si="16"/>
        <v>ΘΕΣΣΑΛΙΑΣ</v>
      </c>
      <c r="M147" t="str">
        <f t="shared" si="17"/>
        <v>ΘΕΣΣΑΛΙΑΣ - ΕΛΑΣΣΟΝΑΣ</v>
      </c>
      <c r="N147" s="197">
        <f t="shared" si="19"/>
        <v>14084</v>
      </c>
      <c r="O147" s="197" t="str">
        <f t="shared" si="20"/>
        <v>Ελασσόνας</v>
      </c>
    </row>
    <row r="148" spans="1:15" x14ac:dyDescent="0.25">
      <c r="A148" s="199">
        <v>147</v>
      </c>
      <c r="B148" t="s">
        <v>408</v>
      </c>
      <c r="C148" t="s">
        <v>380</v>
      </c>
      <c r="D148" t="s">
        <v>193</v>
      </c>
      <c r="E148" t="str">
        <f t="shared" si="14"/>
        <v xml:space="preserve">ΘΕΣΣΑΛΙΑΣ - ΑΓΙΑΣ, </v>
      </c>
      <c r="F148" s="225" t="s">
        <v>721</v>
      </c>
      <c r="G148" s="225">
        <v>13938</v>
      </c>
      <c r="H148" t="str">
        <f>IFERROR(INDEX(DimosNaiOxi,MATCH(ΤΚ!E148,DimosNai,0)),"")</f>
        <v/>
      </c>
      <c r="I148" t="str">
        <f>LOOKUP(B148,ΠΕΡΙΦΕΡΕΙΑ!$A$2:$A$14,ΠΕΡΙΦΕΡΕΙΑ!$B$2:$B$14)</f>
        <v>Ολική</v>
      </c>
      <c r="J148">
        <f t="shared" si="18"/>
        <v>147</v>
      </c>
      <c r="K148" s="199">
        <f t="shared" si="15"/>
        <v>153</v>
      </c>
      <c r="L148" t="str">
        <f t="shared" si="16"/>
        <v>ΘΕΣΣΑΛΙΑΣ</v>
      </c>
      <c r="M148" t="str">
        <f t="shared" si="17"/>
        <v>ΘΕΣΣΑΛΙΑΣ - ΖΑΓΟΡΑΣ – ΜΟΥΡΕΣΙΟΥ</v>
      </c>
      <c r="N148" s="197">
        <f t="shared" si="19"/>
        <v>14108</v>
      </c>
      <c r="O148" s="197" t="str">
        <f t="shared" si="20"/>
        <v>Ζαγοράς - Μουρεσίου</v>
      </c>
    </row>
    <row r="149" spans="1:15" x14ac:dyDescent="0.25">
      <c r="A149" s="199">
        <v>148</v>
      </c>
      <c r="B149" t="s">
        <v>408</v>
      </c>
      <c r="C149" t="s">
        <v>381</v>
      </c>
      <c r="D149" t="s">
        <v>200</v>
      </c>
      <c r="E149" t="str">
        <f t="shared" si="14"/>
        <v xml:space="preserve">ΘΕΣΣΑΛΙΑΣ - ΑΛΜΥΡΟΥ, </v>
      </c>
      <c r="F149" s="225" t="s">
        <v>722</v>
      </c>
      <c r="G149" s="225">
        <v>13960</v>
      </c>
      <c r="H149" t="str">
        <f>IFERROR(INDEX(DimosNaiOxi,MATCH(ΤΚ!E149,DimosNai,0)),"")</f>
        <v/>
      </c>
      <c r="I149" t="str">
        <f>LOOKUP(B149,ΠΕΡΙΦΕΡΕΙΑ!$A$2:$A$14,ΠΕΡΙΦΕΡΕΙΑ!$B$2:$B$14)</f>
        <v>Ολική</v>
      </c>
      <c r="J149">
        <f t="shared" si="18"/>
        <v>148</v>
      </c>
      <c r="K149" s="199">
        <f t="shared" si="15"/>
        <v>154</v>
      </c>
      <c r="L149" t="str">
        <f t="shared" si="16"/>
        <v>ΘΕΣΣΑΛΙΑΣ</v>
      </c>
      <c r="M149" t="str">
        <f t="shared" si="17"/>
        <v>ΘΕΣΣΑΛΙΑΣ - ΚΑΛΑΜΠΑΚΑΣ</v>
      </c>
      <c r="N149" s="197">
        <f t="shared" si="19"/>
        <v>14184</v>
      </c>
      <c r="O149" s="197" t="str">
        <f t="shared" si="20"/>
        <v>Καλαμπάκας</v>
      </c>
    </row>
    <row r="150" spans="1:15" x14ac:dyDescent="0.25">
      <c r="A150" s="199">
        <v>149</v>
      </c>
      <c r="B150" t="s">
        <v>408</v>
      </c>
      <c r="C150" t="s">
        <v>382</v>
      </c>
      <c r="D150" t="s">
        <v>205</v>
      </c>
      <c r="E150" t="str">
        <f t="shared" si="14"/>
        <v xml:space="preserve">ΘΕΣΣΑΛΙΑΣ - ΑΛΟΝΝΗΣΟΥ, </v>
      </c>
      <c r="F150" s="225" t="s">
        <v>723</v>
      </c>
      <c r="G150" s="225">
        <v>13964</v>
      </c>
      <c r="H150" t="str">
        <f>IFERROR(INDEX(DimosNaiOxi,MATCH(ΤΚ!E150,DimosNai,0)),"")</f>
        <v/>
      </c>
      <c r="I150" t="str">
        <f>LOOKUP(B150,ΠΕΡΙΦΕΡΕΙΑ!$A$2:$A$14,ΠΕΡΙΦΕΡΕΙΑ!$B$2:$B$14)</f>
        <v>Ολική</v>
      </c>
      <c r="J150">
        <f t="shared" si="18"/>
        <v>149</v>
      </c>
      <c r="K150" s="199">
        <f t="shared" si="15"/>
        <v>155</v>
      </c>
      <c r="L150" t="str">
        <f t="shared" si="16"/>
        <v>ΘΕΣΣΑΛΙΑΣ</v>
      </c>
      <c r="M150" t="str">
        <f t="shared" si="17"/>
        <v>ΘΕΣΣΑΛΙΑΣ - ΚΑΡΔΙΤΣΑΣ</v>
      </c>
      <c r="N150" s="197">
        <f t="shared" si="19"/>
        <v>14194</v>
      </c>
      <c r="O150" s="197" t="str">
        <f t="shared" si="20"/>
        <v>Καρδίτσας</v>
      </c>
    </row>
    <row r="151" spans="1:15" x14ac:dyDescent="0.25">
      <c r="A151" s="199">
        <v>150</v>
      </c>
      <c r="B151" t="s">
        <v>408</v>
      </c>
      <c r="C151" t="s">
        <v>188</v>
      </c>
      <c r="D151" t="s">
        <v>187</v>
      </c>
      <c r="E151" t="str">
        <f t="shared" si="14"/>
        <v xml:space="preserve">ΘΕΣΣΑΛΙΑΣ - ΑΡΓΙΘΕΑΣ, </v>
      </c>
      <c r="F151" s="225" t="s">
        <v>724</v>
      </c>
      <c r="G151" s="225">
        <v>13996</v>
      </c>
      <c r="H151" t="str">
        <f>IFERROR(INDEX(DimosNaiOxi,MATCH(ΤΚ!E151,DimosNai,0)),"")</f>
        <v/>
      </c>
      <c r="I151" t="str">
        <f>LOOKUP(B151,ΠΕΡΙΦΕΡΕΙΑ!$A$2:$A$14,ΠΕΡΙΦΕΡΕΙΑ!$B$2:$B$14)</f>
        <v>Ολική</v>
      </c>
      <c r="J151">
        <f t="shared" si="18"/>
        <v>150</v>
      </c>
      <c r="K151" s="199">
        <f t="shared" si="15"/>
        <v>156</v>
      </c>
      <c r="L151" t="str">
        <f t="shared" si="16"/>
        <v>ΘΕΣΣΑΛΙΑΣ</v>
      </c>
      <c r="M151" t="str">
        <f t="shared" si="17"/>
        <v>ΘΕΣΣΑΛΙΑΣ - ΚΙΛΕΛΕΡ</v>
      </c>
      <c r="N151" s="197">
        <f t="shared" si="19"/>
        <v>14214</v>
      </c>
      <c r="O151" s="197" t="str">
        <f t="shared" si="20"/>
        <v>Κιλελέρ</v>
      </c>
    </row>
    <row r="152" spans="1:15" x14ac:dyDescent="0.25">
      <c r="A152" s="199">
        <v>151</v>
      </c>
      <c r="B152" t="s">
        <v>408</v>
      </c>
      <c r="C152" t="s">
        <v>381</v>
      </c>
      <c r="D152" t="s">
        <v>201</v>
      </c>
      <c r="E152" t="str">
        <f t="shared" si="14"/>
        <v xml:space="preserve">ΘΕΣΣΑΛΙΑΣ - ΒΟΛΟΥ, </v>
      </c>
      <c r="F152" s="225" t="s">
        <v>725</v>
      </c>
      <c r="G152" s="225">
        <v>14022</v>
      </c>
      <c r="H152" t="str">
        <f>IFERROR(INDEX(DimosNaiOxi,MATCH(ΤΚ!E152,DimosNai,0)),"")</f>
        <v/>
      </c>
      <c r="I152" t="str">
        <f>LOOKUP(B152,ΠΕΡΙΦΕΡΕΙΑ!$A$2:$A$14,ΠΕΡΙΦΕΡΕΙΑ!$B$2:$B$14)</f>
        <v>Ολική</v>
      </c>
      <c r="J152">
        <f t="shared" si="18"/>
        <v>151</v>
      </c>
      <c r="K152" s="199">
        <f t="shared" si="15"/>
        <v>157</v>
      </c>
      <c r="L152" t="str">
        <f t="shared" si="16"/>
        <v>ΘΕΣΣΑΛΙΑΣ</v>
      </c>
      <c r="M152" t="str">
        <f t="shared" si="17"/>
        <v>ΘΕΣΣΑΛΙΑΣ - ΛΑΡΙΣΑΙΩΝ</v>
      </c>
      <c r="N152" s="197">
        <f t="shared" si="19"/>
        <v>14250</v>
      </c>
      <c r="O152" s="197" t="str">
        <f t="shared" si="20"/>
        <v>Λαρισαίων</v>
      </c>
    </row>
    <row r="153" spans="1:15" x14ac:dyDescent="0.25">
      <c r="A153" s="199">
        <v>152</v>
      </c>
      <c r="B153" t="s">
        <v>408</v>
      </c>
      <c r="C153" t="s">
        <v>380</v>
      </c>
      <c r="D153" t="s">
        <v>194</v>
      </c>
      <c r="E153" t="str">
        <f t="shared" si="14"/>
        <v xml:space="preserve">ΘΕΣΣΑΛΙΑΣ - ΕΛΑΣΣΟΝΑΣ, </v>
      </c>
      <c r="F153" s="225" t="s">
        <v>726</v>
      </c>
      <c r="G153" s="225">
        <v>14084</v>
      </c>
      <c r="H153" t="str">
        <f>IFERROR(INDEX(DimosNaiOxi,MATCH(ΤΚ!E153,DimosNai,0)),"")</f>
        <v/>
      </c>
      <c r="I153" t="str">
        <f>LOOKUP(B153,ΠΕΡΙΦΕΡΕΙΑ!$A$2:$A$14,ΠΕΡΙΦΕΡΕΙΑ!$B$2:$B$14)</f>
        <v>Ολική</v>
      </c>
      <c r="J153">
        <f t="shared" si="18"/>
        <v>152</v>
      </c>
      <c r="K153" s="199">
        <f t="shared" si="15"/>
        <v>158</v>
      </c>
      <c r="L153" t="str">
        <f t="shared" si="16"/>
        <v>ΘΕΣΣΑΛΙΑΣ</v>
      </c>
      <c r="M153" t="str">
        <f t="shared" si="17"/>
        <v>ΘΕΣΣΑΛΙΑΣ - ΛΙΜΝΗΣ ΠΛΑΣΤΗΡΑ</v>
      </c>
      <c r="N153" s="197">
        <f t="shared" si="19"/>
        <v>14244</v>
      </c>
      <c r="O153" s="197" t="str">
        <f t="shared" si="20"/>
        <v>Λίμνης Πλαστήρα</v>
      </c>
    </row>
    <row r="154" spans="1:15" x14ac:dyDescent="0.25">
      <c r="A154" s="199">
        <v>153</v>
      </c>
      <c r="B154" t="s">
        <v>408</v>
      </c>
      <c r="C154" t="s">
        <v>381</v>
      </c>
      <c r="D154" t="s">
        <v>202</v>
      </c>
      <c r="E154" t="str">
        <f t="shared" si="14"/>
        <v xml:space="preserve">ΘΕΣΣΑΛΙΑΣ - ΖΑΓΟΡΑΣ – ΜΟΥΡΕΣΙΟΥ, </v>
      </c>
      <c r="F154" s="225" t="s">
        <v>727</v>
      </c>
      <c r="G154" s="225">
        <v>14108</v>
      </c>
      <c r="H154" t="str">
        <f>IFERROR(INDEX(DimosNaiOxi,MATCH(ΤΚ!E154,DimosNai,0)),"")</f>
        <v/>
      </c>
      <c r="I154" t="str">
        <f>LOOKUP(B154,ΠΕΡΙΦΕΡΕΙΑ!$A$2:$A$14,ΠΕΡΙΦΕΡΕΙΑ!$B$2:$B$14)</f>
        <v>Ολική</v>
      </c>
      <c r="J154">
        <f t="shared" si="18"/>
        <v>153</v>
      </c>
      <c r="K154" s="199">
        <f t="shared" si="15"/>
        <v>159</v>
      </c>
      <c r="L154" t="str">
        <f t="shared" si="16"/>
        <v>ΘΕΣΣΑΛΙΑΣ</v>
      </c>
      <c r="M154" t="str">
        <f t="shared" si="17"/>
        <v>ΘΕΣΣΑΛΙΑΣ - ΜΟΥΖΑΚΙΟΥ</v>
      </c>
      <c r="N154" s="197">
        <f t="shared" si="19"/>
        <v>14306</v>
      </c>
      <c r="O154" s="197" t="str">
        <f t="shared" si="20"/>
        <v>Μουζακίου</v>
      </c>
    </row>
    <row r="155" spans="1:15" x14ac:dyDescent="0.25">
      <c r="A155" s="199">
        <v>154</v>
      </c>
      <c r="B155" t="s">
        <v>408</v>
      </c>
      <c r="C155" t="s">
        <v>383</v>
      </c>
      <c r="D155" t="s">
        <v>208</v>
      </c>
      <c r="E155" t="str">
        <f t="shared" si="14"/>
        <v xml:space="preserve">ΘΕΣΣΑΛΙΑΣ - ΚΑΛΑΜΠΑΚΑΣ, </v>
      </c>
      <c r="F155" s="225" t="s">
        <v>728</v>
      </c>
      <c r="G155" s="225">
        <v>14184</v>
      </c>
      <c r="H155" t="str">
        <f>IFERROR(INDEX(DimosNaiOxi,MATCH(ΤΚ!E155,DimosNai,0)),"")</f>
        <v/>
      </c>
      <c r="I155" t="str">
        <f>LOOKUP(B155,ΠΕΡΙΦΕΡΕΙΑ!$A$2:$A$14,ΠΕΡΙΦΕΡΕΙΑ!$B$2:$B$14)</f>
        <v>Ολική</v>
      </c>
      <c r="J155">
        <f t="shared" si="18"/>
        <v>154</v>
      </c>
      <c r="K155" s="199">
        <f t="shared" si="15"/>
        <v>160</v>
      </c>
      <c r="L155" t="str">
        <f t="shared" si="16"/>
        <v>ΘΕΣΣΑΛΙΑΣ</v>
      </c>
      <c r="M155" t="str">
        <f t="shared" si="17"/>
        <v>ΘΕΣΣΑΛΙΑΣ - ΝΟΤΙΟΥ ΠΗΛΙΟΥ</v>
      </c>
      <c r="N155" s="197">
        <f t="shared" si="19"/>
        <v>14344</v>
      </c>
      <c r="O155" s="197" t="str">
        <f t="shared" si="20"/>
        <v>Νοτίου Πηλίου</v>
      </c>
    </row>
    <row r="156" spans="1:15" x14ac:dyDescent="0.25">
      <c r="A156" s="199">
        <v>155</v>
      </c>
      <c r="B156" t="s">
        <v>408</v>
      </c>
      <c r="C156" t="s">
        <v>188</v>
      </c>
      <c r="D156" t="s">
        <v>188</v>
      </c>
      <c r="E156" t="str">
        <f t="shared" si="14"/>
        <v xml:space="preserve">ΘΕΣΣΑΛΙΑΣ - ΚΑΡΔΙΤΣΑΣ, </v>
      </c>
      <c r="F156" s="225" t="s">
        <v>729</v>
      </c>
      <c r="G156" s="225">
        <v>14194</v>
      </c>
      <c r="H156" t="str">
        <f>IFERROR(INDEX(DimosNaiOxi,MATCH(ΤΚ!E156,DimosNai,0)),"")</f>
        <v/>
      </c>
      <c r="I156" t="str">
        <f>LOOKUP(B156,ΠΕΡΙΦΕΡΕΙΑ!$A$2:$A$14,ΠΕΡΙΦΕΡΕΙΑ!$B$2:$B$14)</f>
        <v>Ολική</v>
      </c>
      <c r="J156">
        <f t="shared" si="18"/>
        <v>155</v>
      </c>
      <c r="K156" s="199">
        <f t="shared" si="15"/>
        <v>161</v>
      </c>
      <c r="L156" t="str">
        <f t="shared" si="16"/>
        <v>ΘΕΣΣΑΛΙΑΣ</v>
      </c>
      <c r="M156" t="str">
        <f t="shared" si="17"/>
        <v>ΘΕΣΣΑΛΙΑΣ - ΠΑΛΑΜΑ</v>
      </c>
      <c r="N156" s="197">
        <f t="shared" si="19"/>
        <v>14392</v>
      </c>
      <c r="O156" s="197" t="str">
        <f t="shared" si="20"/>
        <v>Παλαμά</v>
      </c>
    </row>
    <row r="157" spans="1:15" x14ac:dyDescent="0.25">
      <c r="A157" s="199">
        <v>156</v>
      </c>
      <c r="B157" t="s">
        <v>408</v>
      </c>
      <c r="C157" t="s">
        <v>380</v>
      </c>
      <c r="D157" t="s">
        <v>195</v>
      </c>
      <c r="E157" t="str">
        <f t="shared" si="14"/>
        <v xml:space="preserve">ΘΕΣΣΑΛΙΑΣ - ΚΙΛΕΛΕΡ, </v>
      </c>
      <c r="F157" s="225" t="s">
        <v>730</v>
      </c>
      <c r="G157" s="225">
        <v>14214</v>
      </c>
      <c r="H157" t="str">
        <f>IFERROR(INDEX(DimosNaiOxi,MATCH(ΤΚ!E157,DimosNai,0)),"")</f>
        <v/>
      </c>
      <c r="I157" t="str">
        <f>LOOKUP(B157,ΠΕΡΙΦΕΡΕΙΑ!$A$2:$A$14,ΠΕΡΙΦΕΡΕΙΑ!$B$2:$B$14)</f>
        <v>Ολική</v>
      </c>
      <c r="J157">
        <f t="shared" si="18"/>
        <v>156</v>
      </c>
      <c r="K157" s="199">
        <f t="shared" si="15"/>
        <v>162</v>
      </c>
      <c r="L157" t="str">
        <f t="shared" si="16"/>
        <v>ΘΕΣΣΑΛΙΑΣ</v>
      </c>
      <c r="M157" t="str">
        <f t="shared" si="17"/>
        <v>ΘΕΣΣΑΛΙΑΣ - ΠΥΛΗΣ</v>
      </c>
      <c r="N157" s="197">
        <f t="shared" si="19"/>
        <v>14376</v>
      </c>
      <c r="O157" s="197" t="str">
        <f t="shared" si="20"/>
        <v>Πύλης</v>
      </c>
    </row>
    <row r="158" spans="1:15" x14ac:dyDescent="0.25">
      <c r="A158" s="199">
        <v>157</v>
      </c>
      <c r="B158" t="s">
        <v>408</v>
      </c>
      <c r="C158" t="s">
        <v>380</v>
      </c>
      <c r="D158" t="s">
        <v>196</v>
      </c>
      <c r="E158" t="str">
        <f t="shared" si="14"/>
        <v xml:space="preserve">ΘΕΣΣΑΛΙΑΣ - ΛΑΡΙΣΑΙΩΝ, </v>
      </c>
      <c r="F158" s="225" t="s">
        <v>731</v>
      </c>
      <c r="G158" s="225">
        <v>14250</v>
      </c>
      <c r="H158" t="str">
        <f>IFERROR(INDEX(DimosNaiOxi,MATCH(ΤΚ!E158,DimosNai,0)),"")</f>
        <v/>
      </c>
      <c r="I158" t="str">
        <f>LOOKUP(B158,ΠΕΡΙΦΕΡΕΙΑ!$A$2:$A$14,ΠΕΡΙΦΕΡΕΙΑ!$B$2:$B$14)</f>
        <v>Ολική</v>
      </c>
      <c r="J158">
        <f t="shared" si="18"/>
        <v>157</v>
      </c>
      <c r="K158" s="199">
        <f t="shared" si="15"/>
        <v>163</v>
      </c>
      <c r="L158" t="str">
        <f t="shared" si="16"/>
        <v>ΘΕΣΣΑΛΙΑΣ</v>
      </c>
      <c r="M158" t="str">
        <f t="shared" si="17"/>
        <v>ΘΕΣΣΑΛΙΑΣ - ΡΗΓΑ ΦΕΡΑΙΟΥ</v>
      </c>
      <c r="N158" s="197">
        <f t="shared" si="19"/>
        <v>14430</v>
      </c>
      <c r="O158" s="197" t="str">
        <f t="shared" si="20"/>
        <v>Ρήγα Φερραίου</v>
      </c>
    </row>
    <row r="159" spans="1:15" x14ac:dyDescent="0.25">
      <c r="A159" s="199">
        <v>158</v>
      </c>
      <c r="B159" t="s">
        <v>408</v>
      </c>
      <c r="C159" t="s">
        <v>188</v>
      </c>
      <c r="D159" t="s">
        <v>189</v>
      </c>
      <c r="E159" t="str">
        <f t="shared" si="14"/>
        <v xml:space="preserve">ΘΕΣΣΑΛΙΑΣ - ΛΙΜΝΗΣ ΠΛΑΣΤΗΡΑ, </v>
      </c>
      <c r="F159" s="225" t="s">
        <v>732</v>
      </c>
      <c r="G159" s="225">
        <v>14244</v>
      </c>
      <c r="H159" t="str">
        <f>IFERROR(INDEX(DimosNaiOxi,MATCH(ΤΚ!E159,DimosNai,0)),"")</f>
        <v/>
      </c>
      <c r="I159" t="str">
        <f>LOOKUP(B159,ΠΕΡΙΦΕΡΕΙΑ!$A$2:$A$14,ΠΕΡΙΦΕΡΕΙΑ!$B$2:$B$14)</f>
        <v>Ολική</v>
      </c>
      <c r="J159">
        <f t="shared" si="18"/>
        <v>158</v>
      </c>
      <c r="K159" s="199">
        <f t="shared" si="15"/>
        <v>164</v>
      </c>
      <c r="L159" t="str">
        <f t="shared" si="16"/>
        <v>ΘΕΣΣΑΛΙΑΣ</v>
      </c>
      <c r="M159" t="str">
        <f t="shared" si="17"/>
        <v>ΘΕΣΣΑΛΙΑΣ - ΣΚΙΑΘΟΥ</v>
      </c>
      <c r="N159" s="197">
        <f t="shared" si="19"/>
        <v>14472</v>
      </c>
      <c r="O159" s="197" t="str">
        <f t="shared" si="20"/>
        <v>Σκιάθου</v>
      </c>
    </row>
    <row r="160" spans="1:15" x14ac:dyDescent="0.25">
      <c r="A160" s="199">
        <v>159</v>
      </c>
      <c r="B160" t="s">
        <v>408</v>
      </c>
      <c r="C160" t="s">
        <v>188</v>
      </c>
      <c r="D160" t="s">
        <v>190</v>
      </c>
      <c r="E160" t="str">
        <f t="shared" si="14"/>
        <v xml:space="preserve">ΘΕΣΣΑΛΙΑΣ - ΜΟΥΖΑΚΙΟΥ, </v>
      </c>
      <c r="F160" s="225" t="s">
        <v>733</v>
      </c>
      <c r="G160" s="225">
        <v>14306</v>
      </c>
      <c r="H160" t="str">
        <f>IFERROR(INDEX(DimosNaiOxi,MATCH(ΤΚ!E160,DimosNai,0)),"")</f>
        <v/>
      </c>
      <c r="I160" t="str">
        <f>LOOKUP(B160,ΠΕΡΙΦΕΡΕΙΑ!$A$2:$A$14,ΠΕΡΙΦΕΡΕΙΑ!$B$2:$B$14)</f>
        <v>Ολική</v>
      </c>
      <c r="J160">
        <f t="shared" si="18"/>
        <v>159</v>
      </c>
      <c r="K160" s="199">
        <f t="shared" si="15"/>
        <v>165</v>
      </c>
      <c r="L160" t="str">
        <f t="shared" si="16"/>
        <v>ΘΕΣΣΑΛΙΑΣ</v>
      </c>
      <c r="M160" t="str">
        <f t="shared" si="17"/>
        <v>ΘΕΣΣΑΛΙΑΣ - ΣΚΟΠΕΛΟΥ</v>
      </c>
      <c r="N160" s="197">
        <f t="shared" si="19"/>
        <v>14474</v>
      </c>
      <c r="O160" s="197" t="str">
        <f t="shared" si="20"/>
        <v>Σκοπέλου</v>
      </c>
    </row>
    <row r="161" spans="1:15" x14ac:dyDescent="0.25">
      <c r="A161" s="199">
        <v>160</v>
      </c>
      <c r="B161" t="s">
        <v>408</v>
      </c>
      <c r="C161" t="s">
        <v>381</v>
      </c>
      <c r="D161" t="s">
        <v>203</v>
      </c>
      <c r="E161" t="str">
        <f t="shared" si="14"/>
        <v xml:space="preserve">ΘΕΣΣΑΛΙΑΣ - ΝΟΤΙΟΥ ΠΗΛΙΟΥ, </v>
      </c>
      <c r="F161" s="225" t="s">
        <v>734</v>
      </c>
      <c r="G161" s="225">
        <v>14344</v>
      </c>
      <c r="H161" t="str">
        <f>IFERROR(INDEX(DimosNaiOxi,MATCH(ΤΚ!E161,DimosNai,0)),"")</f>
        <v/>
      </c>
      <c r="I161" t="str">
        <f>LOOKUP(B161,ΠΕΡΙΦΕΡΕΙΑ!$A$2:$A$14,ΠΕΡΙΦΕΡΕΙΑ!$B$2:$B$14)</f>
        <v>Ολική</v>
      </c>
      <c r="J161">
        <f t="shared" si="18"/>
        <v>160</v>
      </c>
      <c r="K161" s="199">
        <f t="shared" si="15"/>
        <v>166</v>
      </c>
      <c r="L161" t="str">
        <f t="shared" si="16"/>
        <v>ΘΕΣΣΑΛΙΑΣ</v>
      </c>
      <c r="M161" t="str">
        <f t="shared" si="17"/>
        <v>ΘΕΣΣΑΛΙΑΣ - ΣΟΦΑΔΩΝ</v>
      </c>
      <c r="N161" s="197">
        <f t="shared" si="19"/>
        <v>14480</v>
      </c>
      <c r="O161" s="197" t="str">
        <f t="shared" si="20"/>
        <v>Σοφάδων</v>
      </c>
    </row>
    <row r="162" spans="1:15" x14ac:dyDescent="0.25">
      <c r="A162" s="199">
        <v>161</v>
      </c>
      <c r="B162" t="s">
        <v>408</v>
      </c>
      <c r="C162" t="s">
        <v>188</v>
      </c>
      <c r="D162" t="s">
        <v>191</v>
      </c>
      <c r="E162" t="str">
        <f t="shared" si="14"/>
        <v xml:space="preserve">ΘΕΣΣΑΛΙΑΣ - ΠΑΛΑΜΑ, </v>
      </c>
      <c r="F162" s="225" t="s">
        <v>735</v>
      </c>
      <c r="G162" s="225">
        <v>14392</v>
      </c>
      <c r="H162" t="str">
        <f>IFERROR(INDEX(DimosNaiOxi,MATCH(ΤΚ!E162,DimosNai,0)),"")</f>
        <v/>
      </c>
      <c r="I162" t="str">
        <f>LOOKUP(B162,ΠΕΡΙΦΕΡΕΙΑ!$A$2:$A$14,ΠΕΡΙΦΕΡΕΙΑ!$B$2:$B$14)</f>
        <v>Ολική</v>
      </c>
      <c r="J162">
        <f t="shared" si="18"/>
        <v>161</v>
      </c>
      <c r="K162" s="199">
        <f t="shared" si="15"/>
        <v>167</v>
      </c>
      <c r="L162" t="str">
        <f t="shared" si="16"/>
        <v>ΘΕΣΣΑΛΙΑΣ</v>
      </c>
      <c r="M162" t="str">
        <f t="shared" si="17"/>
        <v>ΘΕΣΣΑΛΙΑΣ - ΤΕΜΠΩΝ</v>
      </c>
      <c r="N162" s="197">
        <f t="shared" si="19"/>
        <v>14498</v>
      </c>
      <c r="O162" s="197" t="str">
        <f t="shared" si="20"/>
        <v>Τεμπών</v>
      </c>
    </row>
    <row r="163" spans="1:15" x14ac:dyDescent="0.25">
      <c r="A163" s="199">
        <v>162</v>
      </c>
      <c r="B163" t="s">
        <v>408</v>
      </c>
      <c r="C163" t="s">
        <v>383</v>
      </c>
      <c r="D163" t="s">
        <v>209</v>
      </c>
      <c r="E163" t="str">
        <f t="shared" si="14"/>
        <v xml:space="preserve">ΘΕΣΣΑΛΙΑΣ - ΠΥΛΗΣ, </v>
      </c>
      <c r="F163" s="225" t="s">
        <v>736</v>
      </c>
      <c r="G163" s="225">
        <v>14376</v>
      </c>
      <c r="H163" t="str">
        <f>IFERROR(INDEX(DimosNaiOxi,MATCH(ΤΚ!E163,DimosNai,0)),"")</f>
        <v/>
      </c>
      <c r="I163" t="str">
        <f>LOOKUP(B163,ΠΕΡΙΦΕΡΕΙΑ!$A$2:$A$14,ΠΕΡΙΦΕΡΕΙΑ!$B$2:$B$14)</f>
        <v>Ολική</v>
      </c>
      <c r="J163">
        <f t="shared" si="18"/>
        <v>162</v>
      </c>
      <c r="K163" s="199">
        <f t="shared" si="15"/>
        <v>168</v>
      </c>
      <c r="L163" t="str">
        <f t="shared" si="16"/>
        <v>ΘΕΣΣΑΛΙΑΣ</v>
      </c>
      <c r="M163" t="str">
        <f t="shared" si="17"/>
        <v>ΘΕΣΣΑΛΙΑΣ - ΤΡΙΚΚΑΙΩΝ</v>
      </c>
      <c r="N163" s="197">
        <f t="shared" si="19"/>
        <v>14504</v>
      </c>
      <c r="O163" s="197" t="str">
        <f t="shared" si="20"/>
        <v>Τρικκαίων</v>
      </c>
    </row>
    <row r="164" spans="1:15" x14ac:dyDescent="0.25">
      <c r="A164" s="199">
        <v>163</v>
      </c>
      <c r="B164" t="s">
        <v>408</v>
      </c>
      <c r="C164" t="s">
        <v>381</v>
      </c>
      <c r="D164" t="s">
        <v>204</v>
      </c>
      <c r="E164" t="str">
        <f t="shared" si="14"/>
        <v xml:space="preserve">ΘΕΣΣΑΛΙΑΣ - ΡΗΓΑ ΦΕΡΑΙΟΥ, </v>
      </c>
      <c r="F164" s="225" t="s">
        <v>737</v>
      </c>
      <c r="G164" s="225">
        <v>14430</v>
      </c>
      <c r="H164" t="str">
        <f>IFERROR(INDEX(DimosNaiOxi,MATCH(ΤΚ!E164,DimosNai,0)),"")</f>
        <v/>
      </c>
      <c r="I164" t="str">
        <f>LOOKUP(B164,ΠΕΡΙΦΕΡΕΙΑ!$A$2:$A$14,ΠΕΡΙΦΕΡΕΙΑ!$B$2:$B$14)</f>
        <v>Ολική</v>
      </c>
      <c r="J164">
        <f t="shared" si="18"/>
        <v>163</v>
      </c>
      <c r="K164" s="199">
        <f t="shared" si="15"/>
        <v>169</v>
      </c>
      <c r="L164" t="str">
        <f t="shared" si="16"/>
        <v>ΘΕΣΣΑΛΙΑΣ</v>
      </c>
      <c r="M164" t="str">
        <f t="shared" si="17"/>
        <v>ΘΕΣΣΑΛΙΑΣ - ΤΥΡΝΑΒΟΥ</v>
      </c>
      <c r="N164" s="197">
        <f t="shared" si="19"/>
        <v>14510</v>
      </c>
      <c r="O164" s="197" t="str">
        <f t="shared" si="20"/>
        <v>Τυρνάβου</v>
      </c>
    </row>
    <row r="165" spans="1:15" x14ac:dyDescent="0.25">
      <c r="A165" s="199">
        <v>164</v>
      </c>
      <c r="B165" t="s">
        <v>408</v>
      </c>
      <c r="C165" t="s">
        <v>382</v>
      </c>
      <c r="D165" t="s">
        <v>206</v>
      </c>
      <c r="E165" t="str">
        <f t="shared" si="14"/>
        <v xml:space="preserve">ΘΕΣΣΑΛΙΑΣ - ΣΚΙΑΘΟΥ, </v>
      </c>
      <c r="F165" s="225" t="s">
        <v>738</v>
      </c>
      <c r="G165" s="225">
        <v>14472</v>
      </c>
      <c r="H165" t="str">
        <f>IFERROR(INDEX(DimosNaiOxi,MATCH(ΤΚ!E165,DimosNai,0)),"")</f>
        <v/>
      </c>
      <c r="I165" t="str">
        <f>LOOKUP(B165,ΠΕΡΙΦΕΡΕΙΑ!$A$2:$A$14,ΠΕΡΙΦΕΡΕΙΑ!$B$2:$B$14)</f>
        <v>Ολική</v>
      </c>
      <c r="J165">
        <f t="shared" si="18"/>
        <v>164</v>
      </c>
      <c r="K165" s="199">
        <f t="shared" si="15"/>
        <v>170</v>
      </c>
      <c r="L165" t="str">
        <f t="shared" si="16"/>
        <v>ΘΕΣΣΑΛΙΑΣ</v>
      </c>
      <c r="M165" t="str">
        <f t="shared" si="17"/>
        <v>ΘΕΣΣΑΛΙΑΣ - ΦΑΡΚΑΔΟΝΑΣ</v>
      </c>
      <c r="N165" s="197">
        <f t="shared" si="19"/>
        <v>14514</v>
      </c>
      <c r="O165" s="197" t="str">
        <f t="shared" si="20"/>
        <v>Φαρκαδόνας</v>
      </c>
    </row>
    <row r="166" spans="1:15" x14ac:dyDescent="0.25">
      <c r="A166" s="199">
        <v>165</v>
      </c>
      <c r="B166" t="s">
        <v>408</v>
      </c>
      <c r="C166" t="s">
        <v>382</v>
      </c>
      <c r="D166" t="s">
        <v>207</v>
      </c>
      <c r="E166" t="str">
        <f t="shared" si="14"/>
        <v xml:space="preserve">ΘΕΣΣΑΛΙΑΣ - ΣΚΟΠΕΛΟΥ, </v>
      </c>
      <c r="F166" s="225" t="s">
        <v>739</v>
      </c>
      <c r="G166" s="225">
        <v>14474</v>
      </c>
      <c r="H166" t="str">
        <f>IFERROR(INDEX(DimosNaiOxi,MATCH(ΤΚ!E166,DimosNai,0)),"")</f>
        <v/>
      </c>
      <c r="I166" t="str">
        <f>LOOKUP(B166,ΠΕΡΙΦΕΡΕΙΑ!$A$2:$A$14,ΠΕΡΙΦΕΡΕΙΑ!$B$2:$B$14)</f>
        <v>Ολική</v>
      </c>
      <c r="J166">
        <f t="shared" si="18"/>
        <v>165</v>
      </c>
      <c r="K166" s="199">
        <f t="shared" si="15"/>
        <v>171</v>
      </c>
      <c r="L166" t="str">
        <f t="shared" si="16"/>
        <v>ΘΕΣΣΑΛΙΑΣ</v>
      </c>
      <c r="M166" t="str">
        <f t="shared" si="17"/>
        <v>ΘΕΣΣΑΛΙΑΣ - ΦΑΡΣΑΛΩΝ</v>
      </c>
      <c r="N166" s="197">
        <f t="shared" si="19"/>
        <v>14516</v>
      </c>
      <c r="O166" s="197" t="str">
        <f t="shared" si="20"/>
        <v>Φαρσάλων</v>
      </c>
    </row>
    <row r="167" spans="1:15" x14ac:dyDescent="0.25">
      <c r="A167" s="199">
        <v>166</v>
      </c>
      <c r="B167" t="s">
        <v>408</v>
      </c>
      <c r="C167" t="s">
        <v>188</v>
      </c>
      <c r="D167" t="s">
        <v>192</v>
      </c>
      <c r="E167" t="str">
        <f t="shared" si="14"/>
        <v xml:space="preserve">ΘΕΣΣΑΛΙΑΣ - ΣΟΦΑΔΩΝ, </v>
      </c>
      <c r="F167" s="225" t="s">
        <v>740</v>
      </c>
      <c r="G167" s="225">
        <v>14480</v>
      </c>
      <c r="H167" t="str">
        <f>IFERROR(INDEX(DimosNaiOxi,MATCH(ΤΚ!E167,DimosNai,0)),"")</f>
        <v/>
      </c>
      <c r="I167" t="str">
        <f>LOOKUP(B167,ΠΕΡΙΦΕΡΕΙΑ!$A$2:$A$14,ΠΕΡΙΦΕΡΕΙΑ!$B$2:$B$14)</f>
        <v>Ολική</v>
      </c>
      <c r="J167">
        <f t="shared" si="18"/>
        <v>166</v>
      </c>
      <c r="K167" s="199">
        <f t="shared" si="15"/>
        <v>172</v>
      </c>
      <c r="L167" t="str">
        <f t="shared" si="16"/>
        <v>ΙΟΝΙΩΝ ΝΗΣΩΝ</v>
      </c>
      <c r="M167" t="str">
        <f t="shared" si="17"/>
        <v>ΙΟΝΙΩΝ ΝΗΣΩΝ - ΖΑΚΥΝΘΟΥ</v>
      </c>
      <c r="N167" s="197">
        <f t="shared" si="19"/>
        <v>14112</v>
      </c>
      <c r="O167" s="197" t="str">
        <f t="shared" si="20"/>
        <v>Ζακύνθου</v>
      </c>
    </row>
    <row r="168" spans="1:15" x14ac:dyDescent="0.25">
      <c r="A168" s="199">
        <v>167</v>
      </c>
      <c r="B168" t="s">
        <v>408</v>
      </c>
      <c r="C168" t="s">
        <v>380</v>
      </c>
      <c r="D168" t="s">
        <v>197</v>
      </c>
      <c r="E168" t="str">
        <f t="shared" si="14"/>
        <v xml:space="preserve">ΘΕΣΣΑΛΙΑΣ - ΤΕΜΠΩΝ, </v>
      </c>
      <c r="F168" s="225" t="s">
        <v>741</v>
      </c>
      <c r="G168" s="225">
        <v>14498</v>
      </c>
      <c r="H168" t="str">
        <f>IFERROR(INDEX(DimosNaiOxi,MATCH(ΤΚ!E168,DimosNai,0)),"")</f>
        <v/>
      </c>
      <c r="I168" t="str">
        <f>LOOKUP(B168,ΠΕΡΙΦΕΡΕΙΑ!$A$2:$A$14,ΠΕΡΙΦΕΡΕΙΑ!$B$2:$B$14)</f>
        <v>Ολική</v>
      </c>
      <c r="J168">
        <f t="shared" si="18"/>
        <v>167</v>
      </c>
      <c r="K168" s="199">
        <f t="shared" si="15"/>
        <v>174</v>
      </c>
      <c r="L168" t="str">
        <f t="shared" si="16"/>
        <v>ΙΟΝΙΩΝ ΝΗΣΩΝ</v>
      </c>
      <c r="M168" t="str">
        <f t="shared" si="17"/>
        <v>ΙΟΝΙΩΝ ΝΗΣΩΝ - ΚΕΡΚΥΡΑΣ</v>
      </c>
      <c r="N168" s="197">
        <f t="shared" si="19"/>
        <v>14166</v>
      </c>
      <c r="O168" s="197" t="str">
        <f t="shared" si="20"/>
        <v>Κέρκυρας</v>
      </c>
    </row>
    <row r="169" spans="1:15" x14ac:dyDescent="0.25">
      <c r="A169" s="199">
        <v>168</v>
      </c>
      <c r="B169" t="s">
        <v>408</v>
      </c>
      <c r="C169" t="s">
        <v>383</v>
      </c>
      <c r="D169" t="s">
        <v>210</v>
      </c>
      <c r="E169" t="str">
        <f t="shared" si="14"/>
        <v xml:space="preserve">ΘΕΣΣΑΛΙΑΣ - ΤΡΙΚΚΑΙΩΝ, </v>
      </c>
      <c r="F169" s="225" t="s">
        <v>742</v>
      </c>
      <c r="G169" s="225">
        <v>14504</v>
      </c>
      <c r="H169" t="str">
        <f>IFERROR(INDEX(DimosNaiOxi,MATCH(ΤΚ!E169,DimosNai,0)),"")</f>
        <v/>
      </c>
      <c r="I169" t="str">
        <f>LOOKUP(B169,ΠΕΡΙΦΕΡΕΙΑ!$A$2:$A$14,ΠΕΡΙΦΕΡΕΙΑ!$B$2:$B$14)</f>
        <v>Ολική</v>
      </c>
      <c r="J169">
        <f t="shared" si="18"/>
        <v>168</v>
      </c>
      <c r="K169" s="199">
        <f t="shared" si="15"/>
        <v>175</v>
      </c>
      <c r="L169" t="str">
        <f t="shared" si="16"/>
        <v>ΙΟΝΙΩΝ ΝΗΣΩΝ</v>
      </c>
      <c r="M169" t="str">
        <f t="shared" si="17"/>
        <v>ΙΟΝΙΩΝ ΝΗΣΩΝ - ΚΕΦΑΛΟΝΙΑΣ</v>
      </c>
      <c r="N169" s="197">
        <f t="shared" si="19"/>
        <v>14210</v>
      </c>
      <c r="O169" s="197" t="str">
        <f t="shared" si="20"/>
        <v>Κεφαλονιάς</v>
      </c>
    </row>
    <row r="170" spans="1:15" x14ac:dyDescent="0.25">
      <c r="A170" s="199">
        <v>169</v>
      </c>
      <c r="B170" t="s">
        <v>408</v>
      </c>
      <c r="C170" t="s">
        <v>380</v>
      </c>
      <c r="D170" t="s">
        <v>198</v>
      </c>
      <c r="E170" t="str">
        <f t="shared" si="14"/>
        <v xml:space="preserve">ΘΕΣΣΑΛΙΑΣ - ΤΥΡΝΑΒΟΥ, </v>
      </c>
      <c r="F170" s="225" t="s">
        <v>743</v>
      </c>
      <c r="G170" s="225">
        <v>14510</v>
      </c>
      <c r="H170" t="str">
        <f>IFERROR(INDEX(DimosNaiOxi,MATCH(ΤΚ!E170,DimosNai,0)),"")</f>
        <v/>
      </c>
      <c r="I170" t="str">
        <f>LOOKUP(B170,ΠΕΡΙΦΕΡΕΙΑ!$A$2:$A$14,ΠΕΡΙΦΕΡΕΙΑ!$B$2:$B$14)</f>
        <v>Ολική</v>
      </c>
      <c r="J170">
        <f t="shared" si="18"/>
        <v>169</v>
      </c>
      <c r="K170" s="199">
        <f t="shared" si="15"/>
        <v>176</v>
      </c>
      <c r="L170" t="str">
        <f t="shared" si="16"/>
        <v>ΙΟΝΙΩΝ ΝΗΣΩΝ</v>
      </c>
      <c r="M170" t="str">
        <f t="shared" si="17"/>
        <v>ΙΟΝΙΩΝ ΝΗΣΩΝ - ΛΕΥΚΑΔΑΣ</v>
      </c>
      <c r="N170" s="197">
        <f t="shared" si="19"/>
        <v>14258</v>
      </c>
      <c r="O170" s="197" t="str">
        <f t="shared" si="20"/>
        <v>Λευκάδας</v>
      </c>
    </row>
    <row r="171" spans="1:15" x14ac:dyDescent="0.25">
      <c r="A171" s="199">
        <v>170</v>
      </c>
      <c r="B171" t="s">
        <v>408</v>
      </c>
      <c r="C171" t="s">
        <v>383</v>
      </c>
      <c r="D171" t="s">
        <v>211</v>
      </c>
      <c r="E171" t="str">
        <f t="shared" si="14"/>
        <v xml:space="preserve">ΘΕΣΣΑΛΙΑΣ - ΦΑΡΚΑΔΟΝΑΣ, </v>
      </c>
      <c r="F171" s="225" t="s">
        <v>744</v>
      </c>
      <c r="G171" s="225">
        <v>14514</v>
      </c>
      <c r="H171" t="str">
        <f>IFERROR(INDEX(DimosNaiOxi,MATCH(ΤΚ!E171,DimosNai,0)),"")</f>
        <v/>
      </c>
      <c r="I171" t="str">
        <f>LOOKUP(B171,ΠΕΡΙΦΕΡΕΙΑ!$A$2:$A$14,ΠΕΡΙΦΕΡΕΙΑ!$B$2:$B$14)</f>
        <v>Ολική</v>
      </c>
      <c r="J171">
        <f t="shared" si="18"/>
        <v>170</v>
      </c>
      <c r="K171" s="199">
        <f t="shared" si="15"/>
        <v>179</v>
      </c>
      <c r="L171" t="str">
        <f t="shared" si="16"/>
        <v>ΚΕΝΤΡΙΚΗΣ ΜΑΚΕΔΟΝΙΑΣ</v>
      </c>
      <c r="M171" t="str">
        <f t="shared" si="17"/>
        <v>ΚΕΝΤΡΙΚΗΣ ΜΑΚΕΔΟΝΙΑΣ - ΑΛΕΞΑΝΔΡΕΙΑΣ</v>
      </c>
      <c r="N171" s="197">
        <f t="shared" si="19"/>
        <v>13954</v>
      </c>
      <c r="O171" s="197" t="str">
        <f t="shared" si="20"/>
        <v>Αλεξάνδρειας</v>
      </c>
    </row>
    <row r="172" spans="1:15" x14ac:dyDescent="0.25">
      <c r="A172" s="199">
        <v>171</v>
      </c>
      <c r="B172" t="s">
        <v>408</v>
      </c>
      <c r="C172" t="s">
        <v>380</v>
      </c>
      <c r="D172" t="s">
        <v>199</v>
      </c>
      <c r="E172" t="str">
        <f t="shared" si="14"/>
        <v xml:space="preserve">ΘΕΣΣΑΛΙΑΣ - ΦΑΡΣΑΛΩΝ, </v>
      </c>
      <c r="F172" s="225" t="s">
        <v>745</v>
      </c>
      <c r="G172" s="225">
        <v>14516</v>
      </c>
      <c r="H172" t="str">
        <f>IFERROR(INDEX(DimosNaiOxi,MATCH(ΤΚ!E172,DimosNai,0)),"")</f>
        <v/>
      </c>
      <c r="I172" t="str">
        <f>LOOKUP(B172,ΠΕΡΙΦΕΡΕΙΑ!$A$2:$A$14,ΠΕΡΙΦΕΡΕΙΑ!$B$2:$B$14)</f>
        <v>Ολική</v>
      </c>
      <c r="J172">
        <f t="shared" si="18"/>
        <v>171</v>
      </c>
      <c r="K172" s="199">
        <f t="shared" si="15"/>
        <v>180</v>
      </c>
      <c r="L172" t="str">
        <f t="shared" si="16"/>
        <v>ΚΕΝΤΡΙΚΗΣ ΜΑΚΕΔΟΝΙΑΣ</v>
      </c>
      <c r="M172" t="str">
        <f t="shared" si="17"/>
        <v>ΚΕΝΤΡΙΚΗΣ ΜΑΚΕΔΟΝΙΑΣ - ΑΛΜΩΠΙΑΣ</v>
      </c>
      <c r="N172" s="197">
        <f t="shared" si="19"/>
        <v>13962</v>
      </c>
      <c r="O172" s="197" t="str">
        <f t="shared" si="20"/>
        <v>Αλμωπίας</v>
      </c>
    </row>
    <row r="173" spans="1:15" x14ac:dyDescent="0.25">
      <c r="A173" s="199">
        <v>172</v>
      </c>
      <c r="B173" t="s">
        <v>409</v>
      </c>
      <c r="C173" t="s">
        <v>212</v>
      </c>
      <c r="D173" t="s">
        <v>212</v>
      </c>
      <c r="E173" t="str">
        <f t="shared" si="14"/>
        <v xml:space="preserve">ΙΟΝΙΩΝ ΝΗΣΩΝ - ΖΑΚΥΝΘΟΥ, </v>
      </c>
      <c r="F173" s="225" t="s">
        <v>746</v>
      </c>
      <c r="G173" s="225">
        <v>14112</v>
      </c>
      <c r="H173" t="str">
        <f>IFERROR(INDEX(DimosNaiOxi,MATCH(ΤΚ!E173,DimosNai,0)),"")</f>
        <v>ΝΑΙ</v>
      </c>
      <c r="I173" t="str">
        <f>LOOKUP(B173,ΠΕΡΙΦΕΡΕΙΑ!$A$2:$A$14,ΠΕΡΙΦΕΡΕΙΑ!$B$2:$B$14)</f>
        <v>Μερική</v>
      </c>
      <c r="J173">
        <f t="shared" si="18"/>
        <v>172</v>
      </c>
      <c r="K173" s="199">
        <f t="shared" si="15"/>
        <v>181</v>
      </c>
      <c r="L173" t="str">
        <f t="shared" si="16"/>
        <v>ΚΕΝΤΡΙΚΗΣ ΜΑΚΕΔΟΝΙΑΣ</v>
      </c>
      <c r="M173" t="str">
        <f t="shared" si="17"/>
        <v>ΚΕΝΤΡΙΚΗΣ ΜΑΚΕΔΟΝΙΑΣ - ΑΜΠΕΛΟΚΗΠΩΝ – ΜΕΝΕΜΕΝΗΣ</v>
      </c>
      <c r="N173" s="197">
        <f t="shared" si="19"/>
        <v>13972</v>
      </c>
      <c r="O173" s="197" t="str">
        <f t="shared" si="20"/>
        <v>Αμπελοκήπων - Μενεμένης</v>
      </c>
    </row>
    <row r="174" spans="1:15" x14ac:dyDescent="0.25">
      <c r="A174" s="199">
        <v>173</v>
      </c>
      <c r="B174" t="s">
        <v>409</v>
      </c>
      <c r="C174" t="s">
        <v>213</v>
      </c>
      <c r="D174" t="s">
        <v>213</v>
      </c>
      <c r="E174" t="str">
        <f t="shared" si="14"/>
        <v xml:space="preserve">ΙΟΝΙΩΝ ΝΗΣΩΝ - ΙΘΑΚΗΣ, </v>
      </c>
      <c r="F174" s="225" t="s">
        <v>747</v>
      </c>
      <c r="G174" s="225">
        <v>14150</v>
      </c>
      <c r="H174" t="str">
        <f>IFERROR(INDEX(DimosNaiOxi,MATCH(ΤΚ!E174,DimosNai,0)),"")</f>
        <v/>
      </c>
      <c r="I174" t="str">
        <f>LOOKUP(B174,ΠΕΡΙΦΕΡΕΙΑ!$A$2:$A$14,ΠΕΡΙΦΕΡΕΙΑ!$B$2:$B$14)</f>
        <v>Μερική</v>
      </c>
      <c r="J174" t="str">
        <f t="shared" si="18"/>
        <v/>
      </c>
      <c r="K174" s="199">
        <f t="shared" si="15"/>
        <v>182</v>
      </c>
      <c r="L174" t="str">
        <f t="shared" si="16"/>
        <v>ΚΕΝΤΡΙΚΗΣ ΜΑΚΕΔΟΝΙΑΣ</v>
      </c>
      <c r="M174" t="str">
        <f t="shared" si="17"/>
        <v>ΚΕΝΤΡΙΚΗΣ ΜΑΚΕΔΟΝΙΑΣ - ΑΜΦΙΠΟΛΗΣ</v>
      </c>
      <c r="N174" s="197">
        <f t="shared" si="19"/>
        <v>13978</v>
      </c>
      <c r="O174" s="197" t="str">
        <f t="shared" si="20"/>
        <v>Αμφίπολης</v>
      </c>
    </row>
    <row r="175" spans="1:15" x14ac:dyDescent="0.25">
      <c r="A175" s="199">
        <v>174</v>
      </c>
      <c r="B175" t="s">
        <v>409</v>
      </c>
      <c r="C175" t="s">
        <v>214</v>
      </c>
      <c r="D175" t="s">
        <v>214</v>
      </c>
      <c r="E175" t="str">
        <f t="shared" si="14"/>
        <v xml:space="preserve">ΙΟΝΙΩΝ ΝΗΣΩΝ - ΚΕΡΚΥΡΑΣ, </v>
      </c>
      <c r="F175" s="225" t="s">
        <v>748</v>
      </c>
      <c r="G175" s="225">
        <v>14166</v>
      </c>
      <c r="H175" t="str">
        <f>IFERROR(INDEX(DimosNaiOxi,MATCH(ΤΚ!E175,DimosNai,0)),"")</f>
        <v>ΝΑΙ</v>
      </c>
      <c r="I175" t="str">
        <f>LOOKUP(B175,ΠΕΡΙΦΕΡΕΙΑ!$A$2:$A$14,ΠΕΡΙΦΕΡΕΙΑ!$B$2:$B$14)</f>
        <v>Μερική</v>
      </c>
      <c r="J175">
        <f t="shared" si="18"/>
        <v>174</v>
      </c>
      <c r="K175" s="199">
        <f t="shared" si="15"/>
        <v>183</v>
      </c>
      <c r="L175" t="str">
        <f t="shared" si="16"/>
        <v>ΚΕΝΤΡΙΚΗΣ ΜΑΚΕΔΟΝΙΑΣ</v>
      </c>
      <c r="M175" t="str">
        <f t="shared" si="17"/>
        <v>ΚΕΝΤΡΙΚΗΣ ΜΑΚΕΔΟΝΙΑΣ - ΑΡΙΣΤΟΤΕΛΗ</v>
      </c>
      <c r="N175" s="197">
        <f t="shared" si="19"/>
        <v>13998</v>
      </c>
      <c r="O175" s="197" t="str">
        <f t="shared" si="20"/>
        <v>Αριστοτέλη</v>
      </c>
    </row>
    <row r="176" spans="1:15" x14ac:dyDescent="0.25">
      <c r="A176" s="199">
        <v>175</v>
      </c>
      <c r="B176" t="s">
        <v>409</v>
      </c>
      <c r="C176" t="s">
        <v>384</v>
      </c>
      <c r="D176" t="s">
        <v>216</v>
      </c>
      <c r="E176" t="str">
        <f t="shared" si="14"/>
        <v xml:space="preserve">ΙΟΝΙΩΝ ΝΗΣΩΝ - ΚΕΦΑΛΟΝΙΑΣ, </v>
      </c>
      <c r="F176" s="225" t="s">
        <v>749</v>
      </c>
      <c r="G176" s="225">
        <v>14210</v>
      </c>
      <c r="H176" t="str">
        <f>IFERROR(INDEX(DimosNaiOxi,MATCH(ΤΚ!E176,DimosNai,0)),"")</f>
        <v>ΝΑΙ</v>
      </c>
      <c r="I176" t="str">
        <f>LOOKUP(B176,ΠΕΡΙΦΕΡΕΙΑ!$A$2:$A$14,ΠΕΡΙΦΕΡΕΙΑ!$B$2:$B$14)</f>
        <v>Μερική</v>
      </c>
      <c r="J176">
        <f t="shared" si="18"/>
        <v>175</v>
      </c>
      <c r="K176" s="199">
        <f t="shared" si="15"/>
        <v>184</v>
      </c>
      <c r="L176" t="str">
        <f t="shared" si="16"/>
        <v>ΚΕΝΤΡΙΚΗΣ ΜΑΚΕΔΟΝΙΑΣ</v>
      </c>
      <c r="M176" t="str">
        <f t="shared" si="17"/>
        <v>ΚΕΝΤΡΙΚΗΣ ΜΑΚΕΔΟΝΙΑΣ - ΒΕΡΟΙΑΣ</v>
      </c>
      <c r="N176" s="197">
        <f t="shared" si="19"/>
        <v>14018</v>
      </c>
      <c r="O176" s="197" t="str">
        <f t="shared" si="20"/>
        <v>Βέροιας</v>
      </c>
    </row>
    <row r="177" spans="1:15" x14ac:dyDescent="0.25">
      <c r="A177" s="199">
        <v>176</v>
      </c>
      <c r="B177" t="s">
        <v>409</v>
      </c>
      <c r="C177" t="s">
        <v>217</v>
      </c>
      <c r="D177" t="s">
        <v>217</v>
      </c>
      <c r="E177" t="str">
        <f t="shared" si="14"/>
        <v xml:space="preserve">ΙΟΝΙΩΝ ΝΗΣΩΝ - ΛΕΥΚΑΔΑΣ, </v>
      </c>
      <c r="F177" s="225" t="s">
        <v>750</v>
      </c>
      <c r="G177" s="225">
        <v>14258</v>
      </c>
      <c r="H177" t="str">
        <f>IFERROR(INDEX(DimosNaiOxi,MATCH(ΤΚ!E177,DimosNai,0)),"")</f>
        <v>ΝΑΙ</v>
      </c>
      <c r="I177" t="str">
        <f>LOOKUP(B177,ΠΕΡΙΦΕΡΕΙΑ!$A$2:$A$14,ΠΕΡΙΦΕΡΕΙΑ!$B$2:$B$14)</f>
        <v>Μερική</v>
      </c>
      <c r="J177">
        <f t="shared" si="18"/>
        <v>176</v>
      </c>
      <c r="K177" s="199">
        <f t="shared" si="15"/>
        <v>185</v>
      </c>
      <c r="L177" t="str">
        <f t="shared" si="16"/>
        <v>ΚΕΝΤΡΙΚΗΣ ΜΑΚΕΔΟΝΙΑΣ</v>
      </c>
      <c r="M177" t="str">
        <f t="shared" si="17"/>
        <v>ΚΕΝΤΡΙΚΗΣ ΜΑΚΕΔΟΝΙΑΣ - ΒΙΣΑΛΤΙΑΣ</v>
      </c>
      <c r="N177" s="197">
        <f t="shared" si="19"/>
        <v>14030</v>
      </c>
      <c r="O177" s="197" t="str">
        <f t="shared" si="20"/>
        <v>Βισαλτίας</v>
      </c>
    </row>
    <row r="178" spans="1:15" x14ac:dyDescent="0.25">
      <c r="A178" s="199">
        <v>177</v>
      </c>
      <c r="B178" t="s">
        <v>409</v>
      </c>
      <c r="C178" t="s">
        <v>217</v>
      </c>
      <c r="D178" t="s">
        <v>218</v>
      </c>
      <c r="E178" t="str">
        <f t="shared" si="14"/>
        <v xml:space="preserve">ΙΟΝΙΩΝ ΝΗΣΩΝ - ΜΕΓΑΝΗΣΙΟΥ, </v>
      </c>
      <c r="F178" s="225" t="s">
        <v>751</v>
      </c>
      <c r="G178" s="225">
        <v>14290</v>
      </c>
      <c r="H178" t="str">
        <f>IFERROR(INDEX(DimosNaiOxi,MATCH(ΤΚ!E178,DimosNai,0)),"")</f>
        <v/>
      </c>
      <c r="I178" t="str">
        <f>LOOKUP(B178,ΠΕΡΙΦΕΡΕΙΑ!$A$2:$A$14,ΠΕΡΙΦΕΡΕΙΑ!$B$2:$B$14)</f>
        <v>Μερική</v>
      </c>
      <c r="J178" t="str">
        <f t="shared" si="18"/>
        <v/>
      </c>
      <c r="K178" s="199">
        <f t="shared" si="15"/>
        <v>186</v>
      </c>
      <c r="L178" t="str">
        <f t="shared" si="16"/>
        <v>ΚΕΝΤΡΙΚΗΣ ΜΑΚΕΔΟΝΙΑΣ</v>
      </c>
      <c r="M178" t="str">
        <f t="shared" si="17"/>
        <v>ΚΕΝΤΡΙΚΗΣ ΜΑΚΕΔΟΝΙΑΣ - ΒΟΛΒΗΣ</v>
      </c>
      <c r="N178" s="197">
        <f t="shared" si="19"/>
        <v>14020</v>
      </c>
      <c r="O178" s="197" t="str">
        <f t="shared" si="20"/>
        <v>Βόλβης</v>
      </c>
    </row>
    <row r="179" spans="1:15" x14ac:dyDescent="0.25">
      <c r="A179" s="199">
        <v>178</v>
      </c>
      <c r="B179" t="s">
        <v>409</v>
      </c>
      <c r="C179" t="s">
        <v>214</v>
      </c>
      <c r="D179" t="s">
        <v>215</v>
      </c>
      <c r="E179" t="str">
        <f t="shared" si="14"/>
        <v xml:space="preserve">ΙΟΝΙΩΝ ΝΗΣΩΝ - ΠΑΞΩΝ, </v>
      </c>
      <c r="F179" s="225" t="s">
        <v>752</v>
      </c>
      <c r="G179" s="225">
        <v>14396</v>
      </c>
      <c r="H179" t="str">
        <f>IFERROR(INDEX(DimosNaiOxi,MATCH(ΤΚ!E179,DimosNai,0)),"")</f>
        <v/>
      </c>
      <c r="I179" t="str">
        <f>LOOKUP(B179,ΠΕΡΙΦΕΡΕΙΑ!$A$2:$A$14,ΠΕΡΙΦΕΡΕΙΑ!$B$2:$B$14)</f>
        <v>Μερική</v>
      </c>
      <c r="J179" t="str">
        <f t="shared" si="18"/>
        <v/>
      </c>
      <c r="K179" s="199">
        <f t="shared" si="15"/>
        <v>187</v>
      </c>
      <c r="L179" t="str">
        <f t="shared" si="16"/>
        <v>ΚΕΝΤΡΙΚΗΣ ΜΑΚΕΔΟΝΙΑΣ</v>
      </c>
      <c r="M179" t="str">
        <f t="shared" si="17"/>
        <v>ΚΕΝΤΡΙΚΗΣ ΜΑΚΕΔΟΝΙΑΣ - ΔΕΛΤΑ</v>
      </c>
      <c r="N179" s="197">
        <f t="shared" si="19"/>
        <v>14054</v>
      </c>
      <c r="O179" s="197" t="str">
        <f t="shared" si="20"/>
        <v>Δέλτα</v>
      </c>
    </row>
    <row r="180" spans="1:15" x14ac:dyDescent="0.25">
      <c r="A180" s="199">
        <v>179</v>
      </c>
      <c r="B180" t="s">
        <v>410</v>
      </c>
      <c r="C180" t="s">
        <v>385</v>
      </c>
      <c r="D180" t="s">
        <v>219</v>
      </c>
      <c r="E180" t="str">
        <f t="shared" si="14"/>
        <v xml:space="preserve">ΚΕΝΤΡΙΚΗΣ ΜΑΚΕΔΟΝΙΑΣ - ΑΛΕΞΑΝΔΡΕΙΑΣ, </v>
      </c>
      <c r="F180" s="225" t="s">
        <v>753</v>
      </c>
      <c r="G180" s="225">
        <v>13954</v>
      </c>
      <c r="H180" t="str">
        <f>IFERROR(INDEX(DimosNaiOxi,MATCH(ΤΚ!E180,DimosNai,0)),"")</f>
        <v/>
      </c>
      <c r="I180" t="str">
        <f>LOOKUP(B180,ΠΕΡΙΦΕΡΕΙΑ!$A$2:$A$14,ΠΕΡΙΦΕΡΕΙΑ!$B$2:$B$14)</f>
        <v>Ολική</v>
      </c>
      <c r="J180">
        <f t="shared" si="18"/>
        <v>179</v>
      </c>
      <c r="K180" s="199">
        <f t="shared" si="15"/>
        <v>188</v>
      </c>
      <c r="L180" t="str">
        <f t="shared" si="16"/>
        <v>ΚΕΝΤΡΙΚΗΣ ΜΑΚΕΔΟΝΙΑΣ</v>
      </c>
      <c r="M180" t="str">
        <f t="shared" si="17"/>
        <v>ΚΕΝΤΡΙΚΗΣ ΜΑΚΕΔΟΝΙΑΣ - ΔΙΟΥ – ΟΛΥΜΠΟΥ</v>
      </c>
      <c r="N180" s="197">
        <f t="shared" si="19"/>
        <v>14056</v>
      </c>
      <c r="O180" s="197" t="str">
        <f t="shared" si="20"/>
        <v>Δίου - Ολύμπου</v>
      </c>
    </row>
    <row r="181" spans="1:15" x14ac:dyDescent="0.25">
      <c r="A181" s="199">
        <v>180</v>
      </c>
      <c r="B181" t="s">
        <v>410</v>
      </c>
      <c r="C181" t="s">
        <v>240</v>
      </c>
      <c r="D181" t="s">
        <v>238</v>
      </c>
      <c r="E181" t="str">
        <f t="shared" si="14"/>
        <v xml:space="preserve">ΚΕΝΤΡΙΚΗΣ ΜΑΚΕΔΟΝΙΑΣ - ΑΛΜΩΠΙΑΣ, </v>
      </c>
      <c r="F181" s="225" t="s">
        <v>754</v>
      </c>
      <c r="G181" s="225">
        <v>13962</v>
      </c>
      <c r="H181" t="str">
        <f>IFERROR(INDEX(DimosNaiOxi,MATCH(ΤΚ!E181,DimosNai,0)),"")</f>
        <v/>
      </c>
      <c r="I181" t="str">
        <f>LOOKUP(B181,ΠΕΡΙΦΕΡΕΙΑ!$A$2:$A$14,ΠΕΡΙΦΕΡΕΙΑ!$B$2:$B$14)</f>
        <v>Ολική</v>
      </c>
      <c r="J181">
        <f t="shared" si="18"/>
        <v>180</v>
      </c>
      <c r="K181" s="199">
        <f t="shared" si="15"/>
        <v>189</v>
      </c>
      <c r="L181" t="str">
        <f t="shared" si="16"/>
        <v>ΚΕΝΤΡΙΚΗΣ ΜΑΚΕΔΟΝΙΑΣ</v>
      </c>
      <c r="M181" t="str">
        <f t="shared" si="17"/>
        <v>ΚΕΝΤΡΙΚΗΣ ΜΑΚΕΔΟΝΙΑΣ - ΕΔΕΣΣΑΣ</v>
      </c>
      <c r="N181" s="197">
        <f t="shared" si="19"/>
        <v>13912</v>
      </c>
      <c r="O181" s="197" t="str">
        <f t="shared" si="20"/>
        <v>Έδεσσας</v>
      </c>
    </row>
    <row r="182" spans="1:15" x14ac:dyDescent="0.25">
      <c r="A182" s="199">
        <v>181</v>
      </c>
      <c r="B182" t="s">
        <v>410</v>
      </c>
      <c r="C182" t="s">
        <v>227</v>
      </c>
      <c r="D182" t="s">
        <v>222</v>
      </c>
      <c r="E182" t="str">
        <f t="shared" si="14"/>
        <v xml:space="preserve">ΚΕΝΤΡΙΚΗΣ ΜΑΚΕΔΟΝΙΑΣ - ΑΜΠΕΛΟΚΗΠΩΝ – ΜΕΝΕΜΕΝΗΣ, </v>
      </c>
      <c r="F182" s="225" t="s">
        <v>755</v>
      </c>
      <c r="G182" s="225">
        <v>13972</v>
      </c>
      <c r="H182" t="str">
        <f>IFERROR(INDEX(DimosNaiOxi,MATCH(ΤΚ!E182,DimosNai,0)),"")</f>
        <v/>
      </c>
      <c r="I182" t="str">
        <f>LOOKUP(B182,ΠΕΡΙΦΕΡΕΙΑ!$A$2:$A$14,ΠΕΡΙΦΕΡΕΙΑ!$B$2:$B$14)</f>
        <v>Ολική</v>
      </c>
      <c r="J182">
        <f t="shared" si="18"/>
        <v>181</v>
      </c>
      <c r="K182" s="199">
        <f t="shared" si="15"/>
        <v>190</v>
      </c>
      <c r="L182" t="str">
        <f t="shared" si="16"/>
        <v>ΚΕΝΤΡΙΚΗΣ ΜΑΚΕΔΟΝΙΑΣ</v>
      </c>
      <c r="M182" t="str">
        <f t="shared" si="17"/>
        <v>ΚΕΝΤΡΙΚΗΣ ΜΑΚΕΔΟΝΙΑΣ - ΕΜΜΑΝΟΥΗΛ ΠΑΠΠΑ</v>
      </c>
      <c r="N182" s="197">
        <f t="shared" si="19"/>
        <v>14092</v>
      </c>
      <c r="O182" s="197" t="str">
        <f t="shared" si="20"/>
        <v>Εμμανουήλ Παππά</v>
      </c>
    </row>
    <row r="183" spans="1:15" x14ac:dyDescent="0.25">
      <c r="A183" s="199">
        <v>182</v>
      </c>
      <c r="B183" t="s">
        <v>410</v>
      </c>
      <c r="C183" t="s">
        <v>250</v>
      </c>
      <c r="D183" t="s">
        <v>245</v>
      </c>
      <c r="E183" t="str">
        <f t="shared" si="14"/>
        <v xml:space="preserve">ΚΕΝΤΡΙΚΗΣ ΜΑΚΕΔΟΝΙΑΣ - ΑΜΦΙΠΟΛΗΣ, </v>
      </c>
      <c r="F183" s="225" t="s">
        <v>756</v>
      </c>
      <c r="G183" s="225">
        <v>13978</v>
      </c>
      <c r="H183" t="str">
        <f>IFERROR(INDEX(DimosNaiOxi,MATCH(ΤΚ!E183,DimosNai,0)),"")</f>
        <v/>
      </c>
      <c r="I183" t="str">
        <f>LOOKUP(B183,ΠΕΡΙΦΕΡΕΙΑ!$A$2:$A$14,ΠΕΡΙΦΕΡΕΙΑ!$B$2:$B$14)</f>
        <v>Ολική</v>
      </c>
      <c r="J183">
        <f t="shared" si="18"/>
        <v>182</v>
      </c>
      <c r="K183" s="199">
        <f t="shared" si="15"/>
        <v>191</v>
      </c>
      <c r="L183" t="str">
        <f t="shared" si="16"/>
        <v>ΚΕΝΤΡΙΚΗΣ ΜΑΚΕΔΟΝΙΑΣ</v>
      </c>
      <c r="M183" t="str">
        <f t="shared" si="17"/>
        <v>ΚΕΝΤΡΙΚΗΣ ΜΑΚΕΔΟΝΙΑΣ - ΗΡΑΚΛΕΙΑΣ</v>
      </c>
      <c r="N183" s="197">
        <f t="shared" si="19"/>
        <v>14124</v>
      </c>
      <c r="O183" s="197" t="str">
        <f t="shared" si="20"/>
        <v>Ηρακλείας</v>
      </c>
    </row>
    <row r="184" spans="1:15" x14ac:dyDescent="0.25">
      <c r="A184" s="199">
        <v>183</v>
      </c>
      <c r="B184" t="s">
        <v>410</v>
      </c>
      <c r="C184" t="s">
        <v>387</v>
      </c>
      <c r="D184" t="s">
        <v>252</v>
      </c>
      <c r="E184" t="str">
        <f t="shared" si="14"/>
        <v xml:space="preserve">ΚΕΝΤΡΙΚΗΣ ΜΑΚΕΔΟΝΙΑΣ - ΑΡΙΣΤΟΤΕΛΗ, </v>
      </c>
      <c r="F184" s="225" t="s">
        <v>757</v>
      </c>
      <c r="G184" s="225">
        <v>13998</v>
      </c>
      <c r="H184" t="str">
        <f>IFERROR(INDEX(DimosNaiOxi,MATCH(ΤΚ!E184,DimosNai,0)),"")</f>
        <v/>
      </c>
      <c r="I184" t="str">
        <f>LOOKUP(B184,ΠΕΡΙΦΕΡΕΙΑ!$A$2:$A$14,ΠΕΡΙΦΕΡΕΙΑ!$B$2:$B$14)</f>
        <v>Ολική</v>
      </c>
      <c r="J184">
        <f t="shared" si="18"/>
        <v>183</v>
      </c>
      <c r="K184" s="199">
        <f t="shared" si="15"/>
        <v>192</v>
      </c>
      <c r="L184" t="str">
        <f t="shared" si="16"/>
        <v>ΚΕΝΤΡΙΚΗΣ ΜΑΚΕΔΟΝΙΑΣ</v>
      </c>
      <c r="M184" t="str">
        <f t="shared" si="17"/>
        <v>ΚΕΝΤΡΙΚΗΣ ΜΑΚΕΔΟΝΙΑΣ - ΘΕΡΜΑΪΚΟΥ</v>
      </c>
      <c r="N184" s="197">
        <f t="shared" si="19"/>
        <v>14136</v>
      </c>
      <c r="O184" s="197" t="str">
        <f t="shared" si="20"/>
        <v>Θερμαϊκού</v>
      </c>
    </row>
    <row r="185" spans="1:15" x14ac:dyDescent="0.25">
      <c r="A185" s="199">
        <v>184</v>
      </c>
      <c r="B185" t="s">
        <v>410</v>
      </c>
      <c r="C185" t="s">
        <v>385</v>
      </c>
      <c r="D185" t="s">
        <v>220</v>
      </c>
      <c r="E185" t="str">
        <f t="shared" si="14"/>
        <v xml:space="preserve">ΚΕΝΤΡΙΚΗΣ ΜΑΚΕΔΟΝΙΑΣ - ΒΕΡΟΙΑΣ, </v>
      </c>
      <c r="F185" s="225" t="s">
        <v>758</v>
      </c>
      <c r="G185" s="225">
        <v>14018</v>
      </c>
      <c r="H185" t="str">
        <f>IFERROR(INDEX(DimosNaiOxi,MATCH(ΤΚ!E185,DimosNai,0)),"")</f>
        <v/>
      </c>
      <c r="I185" t="str">
        <f>LOOKUP(B185,ΠΕΡΙΦΕΡΕΙΑ!$A$2:$A$14,ΠΕΡΙΦΕΡΕΙΑ!$B$2:$B$14)</f>
        <v>Ολική</v>
      </c>
      <c r="J185">
        <f t="shared" si="18"/>
        <v>184</v>
      </c>
      <c r="K185" s="199">
        <f t="shared" si="15"/>
        <v>193</v>
      </c>
      <c r="L185" t="str">
        <f t="shared" si="16"/>
        <v>ΚΕΝΤΡΙΚΗΣ ΜΑΚΕΔΟΝΙΑΣ</v>
      </c>
      <c r="M185" t="str">
        <f t="shared" si="17"/>
        <v>ΚΕΝΤΡΙΚΗΣ ΜΑΚΕΔΟΝΙΑΣ - ΘΕΡΜΗΣ</v>
      </c>
      <c r="N185" s="197">
        <f t="shared" si="19"/>
        <v>14130</v>
      </c>
      <c r="O185" s="197" t="str">
        <f t="shared" si="20"/>
        <v>Θέρμης</v>
      </c>
    </row>
    <row r="186" spans="1:15" x14ac:dyDescent="0.25">
      <c r="A186" s="199">
        <v>185</v>
      </c>
      <c r="B186" t="s">
        <v>410</v>
      </c>
      <c r="C186" t="s">
        <v>250</v>
      </c>
      <c r="D186" t="s">
        <v>246</v>
      </c>
      <c r="E186" t="str">
        <f t="shared" si="14"/>
        <v xml:space="preserve">ΚΕΝΤΡΙΚΗΣ ΜΑΚΕΔΟΝΙΑΣ - ΒΙΣΑΛΤΙΑΣ, </v>
      </c>
      <c r="F186" s="225" t="s">
        <v>759</v>
      </c>
      <c r="G186" s="225">
        <v>14030</v>
      </c>
      <c r="H186" t="str">
        <f>IFERROR(INDEX(DimosNaiOxi,MATCH(ΤΚ!E186,DimosNai,0)),"")</f>
        <v/>
      </c>
      <c r="I186" t="str">
        <f>LOOKUP(B186,ΠΕΡΙΦΕΡΕΙΑ!$A$2:$A$14,ΠΕΡΙΦΕΡΕΙΑ!$B$2:$B$14)</f>
        <v>Ολική</v>
      </c>
      <c r="J186">
        <f t="shared" si="18"/>
        <v>185</v>
      </c>
      <c r="K186" s="199">
        <f t="shared" si="15"/>
        <v>194</v>
      </c>
      <c r="L186" t="str">
        <f t="shared" si="16"/>
        <v>ΚΕΝΤΡΙΚΗΣ ΜΑΚΕΔΟΝΙΑΣ</v>
      </c>
      <c r="M186" t="str">
        <f t="shared" si="17"/>
        <v>ΚΕΝΤΡΙΚΗΣ ΜΑΚΕΔΟΝΙΑΣ - ΘΕΣΣΑΛΟΝΙΚΗΣ</v>
      </c>
      <c r="N186" s="197">
        <f t="shared" si="19"/>
        <v>14138</v>
      </c>
      <c r="O186" s="197" t="str">
        <f t="shared" si="20"/>
        <v>Θεσσαλονίκης</v>
      </c>
    </row>
    <row r="187" spans="1:15" x14ac:dyDescent="0.25">
      <c r="A187" s="199">
        <v>186</v>
      </c>
      <c r="B187" t="s">
        <v>410</v>
      </c>
      <c r="C187" t="s">
        <v>227</v>
      </c>
      <c r="D187" t="s">
        <v>223</v>
      </c>
      <c r="E187" t="str">
        <f t="shared" si="14"/>
        <v xml:space="preserve">ΚΕΝΤΡΙΚΗΣ ΜΑΚΕΔΟΝΙΑΣ - ΒΟΛΒΗΣ, </v>
      </c>
      <c r="F187" s="225" t="s">
        <v>760</v>
      </c>
      <c r="G187" s="225">
        <v>14020</v>
      </c>
      <c r="H187" t="str">
        <f>IFERROR(INDEX(DimosNaiOxi,MATCH(ΤΚ!E187,DimosNai,0)),"")</f>
        <v/>
      </c>
      <c r="I187" t="str">
        <f>LOOKUP(B187,ΠΕΡΙΦΕΡΕΙΑ!$A$2:$A$14,ΠΕΡΙΦΕΡΕΙΑ!$B$2:$B$14)</f>
        <v>Ολική</v>
      </c>
      <c r="J187">
        <f t="shared" si="18"/>
        <v>186</v>
      </c>
      <c r="K187" s="199">
        <f t="shared" si="15"/>
        <v>195</v>
      </c>
      <c r="L187" t="str">
        <f t="shared" si="16"/>
        <v>ΚΕΝΤΡΙΚΗΣ ΜΑΚΕΔΟΝΙΑΣ</v>
      </c>
      <c r="M187" t="str">
        <f t="shared" si="17"/>
        <v>ΚΕΝΤΡΙΚΗΣ ΜΑΚΕΔΟΝΙΑΣ - ΚΑΛΑΜΑΡΙΑΣ</v>
      </c>
      <c r="N187" s="197">
        <f t="shared" si="19"/>
        <v>14182</v>
      </c>
      <c r="O187" s="197" t="str">
        <f t="shared" si="20"/>
        <v>Καλαμαριάς</v>
      </c>
    </row>
    <row r="188" spans="1:15" x14ac:dyDescent="0.25">
      <c r="A188" s="199">
        <v>187</v>
      </c>
      <c r="B188" t="s">
        <v>410</v>
      </c>
      <c r="C188" t="s">
        <v>227</v>
      </c>
      <c r="D188" t="s">
        <v>224</v>
      </c>
      <c r="E188" t="str">
        <f t="shared" si="14"/>
        <v xml:space="preserve">ΚΕΝΤΡΙΚΗΣ ΜΑΚΕΔΟΝΙΑΣ - ΔΕΛΤΑ, </v>
      </c>
      <c r="F188" s="225" t="s">
        <v>761</v>
      </c>
      <c r="G188" s="225">
        <v>14054</v>
      </c>
      <c r="H188" t="str">
        <f>IFERROR(INDEX(DimosNaiOxi,MATCH(ΤΚ!E188,DimosNai,0)),"")</f>
        <v/>
      </c>
      <c r="I188" t="str">
        <f>LOOKUP(B188,ΠΕΡΙΦΕΡΕΙΑ!$A$2:$A$14,ΠΕΡΙΦΕΡΕΙΑ!$B$2:$B$14)</f>
        <v>Ολική</v>
      </c>
      <c r="J188">
        <f t="shared" si="18"/>
        <v>187</v>
      </c>
      <c r="K188" s="199">
        <f t="shared" si="15"/>
        <v>196</v>
      </c>
      <c r="L188" t="str">
        <f t="shared" si="16"/>
        <v>ΚΕΝΤΡΙΚΗΣ ΜΑΚΕΔΟΝΙΑΣ</v>
      </c>
      <c r="M188" t="str">
        <f t="shared" si="17"/>
        <v>ΚΕΝΤΡΙΚΗΣ ΜΑΚΕΔΟΝΙΑΣ - ΚΑΣΣΑΝΔΡΑΣ</v>
      </c>
      <c r="N188" s="197">
        <f t="shared" si="19"/>
        <v>14200</v>
      </c>
      <c r="O188" s="197" t="str">
        <f t="shared" si="20"/>
        <v>Κασσάνδρας</v>
      </c>
    </row>
    <row r="189" spans="1:15" x14ac:dyDescent="0.25">
      <c r="A189" s="199">
        <v>188</v>
      </c>
      <c r="B189" t="s">
        <v>410</v>
      </c>
      <c r="C189" t="s">
        <v>386</v>
      </c>
      <c r="D189" t="s">
        <v>242</v>
      </c>
      <c r="E189" t="str">
        <f t="shared" si="14"/>
        <v xml:space="preserve">ΚΕΝΤΡΙΚΗΣ ΜΑΚΕΔΟΝΙΑΣ - ΔΙΟΥ – ΟΛΥΜΠΟΥ, </v>
      </c>
      <c r="F189" s="225" t="s">
        <v>762</v>
      </c>
      <c r="G189" s="225">
        <v>14056</v>
      </c>
      <c r="H189" t="str">
        <f>IFERROR(INDEX(DimosNaiOxi,MATCH(ΤΚ!E189,DimosNai,0)),"")</f>
        <v/>
      </c>
      <c r="I189" t="str">
        <f>LOOKUP(B189,ΠΕΡΙΦΕΡΕΙΑ!$A$2:$A$14,ΠΕΡΙΦΕΡΕΙΑ!$B$2:$B$14)</f>
        <v>Ολική</v>
      </c>
      <c r="J189">
        <f t="shared" si="18"/>
        <v>188</v>
      </c>
      <c r="K189" s="199">
        <f t="shared" si="15"/>
        <v>197</v>
      </c>
      <c r="L189" t="str">
        <f t="shared" si="16"/>
        <v>ΚΕΝΤΡΙΚΗΣ ΜΑΚΕΔΟΝΙΑΣ</v>
      </c>
      <c r="M189" t="str">
        <f t="shared" si="17"/>
        <v>ΚΕΝΤΡΙΚΗΣ ΜΑΚΕΔΟΝΙΑΣ - ΚΑΤΕΡΙΝΗΣ</v>
      </c>
      <c r="N189" s="197">
        <f t="shared" si="19"/>
        <v>14204</v>
      </c>
      <c r="O189" s="197" t="str">
        <f t="shared" si="20"/>
        <v>Κατερίνης</v>
      </c>
    </row>
    <row r="190" spans="1:15" x14ac:dyDescent="0.25">
      <c r="A190" s="199">
        <v>189</v>
      </c>
      <c r="B190" t="s">
        <v>410</v>
      </c>
      <c r="C190" t="s">
        <v>240</v>
      </c>
      <c r="D190" t="s">
        <v>239</v>
      </c>
      <c r="E190" t="str">
        <f t="shared" si="14"/>
        <v xml:space="preserve">ΚΕΝΤΡΙΚΗΣ ΜΑΚΕΔΟΝΙΑΣ - ΕΔΕΣΣΑΣ, </v>
      </c>
      <c r="F190" s="225" t="s">
        <v>763</v>
      </c>
      <c r="G190" s="225">
        <v>13912</v>
      </c>
      <c r="H190" t="str">
        <f>IFERROR(INDEX(DimosNaiOxi,MATCH(ΤΚ!E190,DimosNai,0)),"")</f>
        <v/>
      </c>
      <c r="I190" t="str">
        <f>LOOKUP(B190,ΠΕΡΙΦΕΡΕΙΑ!$A$2:$A$14,ΠΕΡΙΦΕΡΕΙΑ!$B$2:$B$14)</f>
        <v>Ολική</v>
      </c>
      <c r="J190">
        <f t="shared" si="18"/>
        <v>189</v>
      </c>
      <c r="K190" s="199">
        <f t="shared" si="15"/>
        <v>198</v>
      </c>
      <c r="L190" t="str">
        <f t="shared" si="16"/>
        <v>ΚΕΝΤΡΙΚΗΣ ΜΑΚΕΔΟΝΙΑΣ</v>
      </c>
      <c r="M190" t="str">
        <f t="shared" si="17"/>
        <v>ΚΕΝΤΡΙΚΗΣ ΜΑΚΕΔΟΝΙΑΣ - ΚΙΛΚΙΣ</v>
      </c>
      <c r="N190" s="197">
        <f t="shared" si="19"/>
        <v>14216</v>
      </c>
      <c r="O190" s="197" t="str">
        <f t="shared" si="20"/>
        <v>Κιλκίς</v>
      </c>
    </row>
    <row r="191" spans="1:15" x14ac:dyDescent="0.25">
      <c r="A191" s="199">
        <v>190</v>
      </c>
      <c r="B191" t="s">
        <v>410</v>
      </c>
      <c r="C191" t="s">
        <v>250</v>
      </c>
      <c r="D191" t="s">
        <v>247</v>
      </c>
      <c r="E191" t="str">
        <f t="shared" si="14"/>
        <v xml:space="preserve">ΚΕΝΤΡΙΚΗΣ ΜΑΚΕΔΟΝΙΑΣ - ΕΜΜΑΝΟΥΗΛ ΠΑΠΠΑ, </v>
      </c>
      <c r="F191" s="225" t="s">
        <v>764</v>
      </c>
      <c r="G191" s="225">
        <v>14092</v>
      </c>
      <c r="H191" t="str">
        <f>IFERROR(INDEX(DimosNaiOxi,MATCH(ΤΚ!E191,DimosNai,0)),"")</f>
        <v/>
      </c>
      <c r="I191" t="str">
        <f>LOOKUP(B191,ΠΕΡΙΦΕΡΕΙΑ!$A$2:$A$14,ΠΕΡΙΦΕΡΕΙΑ!$B$2:$B$14)</f>
        <v>Ολική</v>
      </c>
      <c r="J191">
        <f t="shared" si="18"/>
        <v>190</v>
      </c>
      <c r="K191" s="199">
        <f t="shared" si="15"/>
        <v>199</v>
      </c>
      <c r="L191" t="str">
        <f t="shared" si="16"/>
        <v>ΚΕΝΤΡΙΚΗΣ ΜΑΚΕΔΟΝΙΑΣ</v>
      </c>
      <c r="M191" t="str">
        <f t="shared" si="17"/>
        <v>ΚΕΝΤΡΙΚΗΣ ΜΑΚΕΔΟΝΙΑΣ - ΚΟΡΔΕΛΙΟΥ – ΕΥΟΣΜΟΥ</v>
      </c>
      <c r="N191" s="197">
        <f t="shared" si="19"/>
        <v>14226</v>
      </c>
      <c r="O191" s="197" t="str">
        <f t="shared" si="20"/>
        <v>Κορδελιού - Ευόσμου</v>
      </c>
    </row>
    <row r="192" spans="1:15" x14ac:dyDescent="0.25">
      <c r="A192" s="199">
        <v>191</v>
      </c>
      <c r="B192" t="s">
        <v>410</v>
      </c>
      <c r="C192" t="s">
        <v>250</v>
      </c>
      <c r="D192" t="s">
        <v>248</v>
      </c>
      <c r="E192" t="str">
        <f t="shared" si="14"/>
        <v xml:space="preserve">ΚΕΝΤΡΙΚΗΣ ΜΑΚΕΔΟΝΙΑΣ - ΗΡΑΚΛΕΙΑΣ, </v>
      </c>
      <c r="F192" s="225" t="s">
        <v>765</v>
      </c>
      <c r="G192" s="225">
        <v>14124</v>
      </c>
      <c r="H192" t="str">
        <f>IFERROR(INDEX(DimosNaiOxi,MATCH(ΤΚ!E192,DimosNai,0)),"")</f>
        <v/>
      </c>
      <c r="I192" t="str">
        <f>LOOKUP(B192,ΠΕΡΙΦΕΡΕΙΑ!$A$2:$A$14,ΠΕΡΙΦΕΡΕΙΑ!$B$2:$B$14)</f>
        <v>Ολική</v>
      </c>
      <c r="J192">
        <f t="shared" si="18"/>
        <v>191</v>
      </c>
      <c r="K192" s="199">
        <f t="shared" si="15"/>
        <v>200</v>
      </c>
      <c r="L192" t="str">
        <f t="shared" si="16"/>
        <v>ΚΕΝΤΡΙΚΗΣ ΜΑΚΕΔΟΝΙΑΣ</v>
      </c>
      <c r="M192" t="str">
        <f t="shared" si="17"/>
        <v>ΚΕΝΤΡΙΚΗΣ ΜΑΚΕΔΟΝΙΑΣ - ΛΑΓΚΑΔΑ</v>
      </c>
      <c r="N192" s="197">
        <f t="shared" si="19"/>
        <v>14246</v>
      </c>
      <c r="O192" s="197" t="str">
        <f t="shared" si="20"/>
        <v>Λαγκαδά</v>
      </c>
    </row>
    <row r="193" spans="1:15" x14ac:dyDescent="0.25">
      <c r="A193" s="199">
        <v>192</v>
      </c>
      <c r="B193" t="s">
        <v>410</v>
      </c>
      <c r="C193" t="s">
        <v>227</v>
      </c>
      <c r="D193" t="s">
        <v>225</v>
      </c>
      <c r="E193" t="str">
        <f t="shared" si="14"/>
        <v xml:space="preserve">ΚΕΝΤΡΙΚΗΣ ΜΑΚΕΔΟΝΙΑΣ - ΘΕΡΜΑΪΚΟΥ, </v>
      </c>
      <c r="F193" s="225" t="s">
        <v>766</v>
      </c>
      <c r="G193" s="225">
        <v>14136</v>
      </c>
      <c r="H193" t="str">
        <f>IFERROR(INDEX(DimosNaiOxi,MATCH(ΤΚ!E193,DimosNai,0)),"")</f>
        <v/>
      </c>
      <c r="I193" t="str">
        <f>LOOKUP(B193,ΠΕΡΙΦΕΡΕΙΑ!$A$2:$A$14,ΠΕΡΙΦΕΡΕΙΑ!$B$2:$B$14)</f>
        <v>Ολική</v>
      </c>
      <c r="J193">
        <f t="shared" si="18"/>
        <v>192</v>
      </c>
      <c r="K193" s="199">
        <f t="shared" si="15"/>
        <v>201</v>
      </c>
      <c r="L193" t="str">
        <f t="shared" si="16"/>
        <v>ΚΕΝΤΡΙΚΗΣ ΜΑΚΕΔΟΝΙΑΣ</v>
      </c>
      <c r="M193" t="str">
        <f t="shared" si="17"/>
        <v>ΚΕΝΤΡΙΚΗΣ ΜΑΚΕΔΟΝΙΑΣ - ΝΑΟΥΣΑΣ</v>
      </c>
      <c r="N193" s="197">
        <f t="shared" si="19"/>
        <v>14314</v>
      </c>
      <c r="O193" s="197" t="str">
        <f t="shared" si="20"/>
        <v>Νάουσας</v>
      </c>
    </row>
    <row r="194" spans="1:15" x14ac:dyDescent="0.25">
      <c r="A194" s="199">
        <v>193</v>
      </c>
      <c r="B194" t="s">
        <v>410</v>
      </c>
      <c r="C194" t="s">
        <v>227</v>
      </c>
      <c r="D194" t="s">
        <v>226</v>
      </c>
      <c r="E194" t="str">
        <f t="shared" ref="E194:E257" si="21">B194&amp;" - "&amp;D194&amp;", "</f>
        <v xml:space="preserve">ΚΕΝΤΡΙΚΗΣ ΜΑΚΕΔΟΝΙΑΣ - ΘΕΡΜΗΣ, </v>
      </c>
      <c r="F194" s="225" t="s">
        <v>767</v>
      </c>
      <c r="G194" s="225">
        <v>14130</v>
      </c>
      <c r="H194" t="str">
        <f>IFERROR(INDEX(DimosNaiOxi,MATCH(ΤΚ!E194,DimosNai,0)),"")</f>
        <v/>
      </c>
      <c r="I194" t="str">
        <f>LOOKUP(B194,ΠΕΡΙΦΕΡΕΙΑ!$A$2:$A$14,ΠΕΡΙΦΕΡΕΙΑ!$B$2:$B$14)</f>
        <v>Ολική</v>
      </c>
      <c r="J194">
        <f t="shared" si="18"/>
        <v>193</v>
      </c>
      <c r="K194" s="199">
        <f t="shared" ref="K194:K257" si="22">SMALL(J:J,A194)</f>
        <v>202</v>
      </c>
      <c r="L194" t="str">
        <f t="shared" ref="L194:L257" si="23">IF(ISNUMBER(K194),LOOKUP(K194,A:A,B:B),"")</f>
        <v>ΚΕΝΤΡΙΚΗΣ ΜΑΚΕΔΟΝΙΑΣ</v>
      </c>
      <c r="M194" t="str">
        <f t="shared" ref="M194:M257" si="24">IF(ISNUMBER(K194),LOOKUP(K194,A:A,B:B)&amp;" - "&amp;LOOKUP(K194,A:A,D:D),"")</f>
        <v>ΚΕΝΤΡΙΚΗΣ ΜΑΚΕΔΟΝΙΑΣ - ΝΕΑΠΟΛΗΣ – ΣΥΚΕΩΝ</v>
      </c>
      <c r="N194" s="197">
        <f t="shared" si="19"/>
        <v>14316</v>
      </c>
      <c r="O194" s="197" t="str">
        <f t="shared" si="20"/>
        <v>Νέαπολης - Συκεών</v>
      </c>
    </row>
    <row r="195" spans="1:15" x14ac:dyDescent="0.25">
      <c r="A195" s="199">
        <v>194</v>
      </c>
      <c r="B195" t="s">
        <v>410</v>
      </c>
      <c r="C195" t="s">
        <v>227</v>
      </c>
      <c r="D195" t="s">
        <v>227</v>
      </c>
      <c r="E195" t="str">
        <f t="shared" si="21"/>
        <v xml:space="preserve">ΚΕΝΤΡΙΚΗΣ ΜΑΚΕΔΟΝΙΑΣ - ΘΕΣΣΑΛΟΝΙΚΗΣ, </v>
      </c>
      <c r="F195" s="225" t="s">
        <v>768</v>
      </c>
      <c r="G195" s="225">
        <v>14138</v>
      </c>
      <c r="H195" t="str">
        <f>IFERROR(INDEX(DimosNaiOxi,MATCH(ΤΚ!E195,DimosNai,0)),"")</f>
        <v/>
      </c>
      <c r="I195" t="str">
        <f>LOOKUP(B195,ΠΕΡΙΦΕΡΕΙΑ!$A$2:$A$14,ΠΕΡΙΦΕΡΕΙΑ!$B$2:$B$14)</f>
        <v>Ολική</v>
      </c>
      <c r="J195">
        <f t="shared" ref="J195:J258" si="25">IF(OR(AND(I195="Μερική",H195="ΝΑΙ"),I195="Ολική"),A195,"")</f>
        <v>194</v>
      </c>
      <c r="K195" s="199">
        <f t="shared" si="22"/>
        <v>203</v>
      </c>
      <c r="L195" t="str">
        <f t="shared" si="23"/>
        <v>ΚΕΝΤΡΙΚΗΣ ΜΑΚΕΔΟΝΙΑΣ</v>
      </c>
      <c r="M195" t="str">
        <f t="shared" si="24"/>
        <v>ΚΕΝΤΡΙΚΗΣ ΜΑΚΕΔΟΝΙΑΣ - ΝΕΑΣ ΖΙΧΝΗΣ</v>
      </c>
      <c r="N195" s="197">
        <f t="shared" ref="N195:N258" si="26">IF(ISNUMBER(K195),LOOKUP(K195,A:A,G:G),"")</f>
        <v>14318</v>
      </c>
      <c r="O195" s="197" t="str">
        <f t="shared" ref="O195:O258" si="27">IF(ISNUMBER(K195),LOOKUP(K195,A:A,F:F),"")</f>
        <v>Νέας Ζίχνης</v>
      </c>
    </row>
    <row r="196" spans="1:15" x14ac:dyDescent="0.25">
      <c r="A196" s="199">
        <v>195</v>
      </c>
      <c r="B196" t="s">
        <v>410</v>
      </c>
      <c r="C196" t="s">
        <v>227</v>
      </c>
      <c r="D196" t="s">
        <v>228</v>
      </c>
      <c r="E196" t="str">
        <f t="shared" si="21"/>
        <v xml:space="preserve">ΚΕΝΤΡΙΚΗΣ ΜΑΚΕΔΟΝΙΑΣ - ΚΑΛΑΜΑΡΙΑΣ, </v>
      </c>
      <c r="F196" s="225" t="s">
        <v>769</v>
      </c>
      <c r="G196" s="225">
        <v>14182</v>
      </c>
      <c r="H196" t="str">
        <f>IFERROR(INDEX(DimosNaiOxi,MATCH(ΤΚ!E196,DimosNai,0)),"")</f>
        <v/>
      </c>
      <c r="I196" t="str">
        <f>LOOKUP(B196,ΠΕΡΙΦΕΡΕΙΑ!$A$2:$A$14,ΠΕΡΙΦΕΡΕΙΑ!$B$2:$B$14)</f>
        <v>Ολική</v>
      </c>
      <c r="J196">
        <f t="shared" si="25"/>
        <v>195</v>
      </c>
      <c r="K196" s="199">
        <f t="shared" si="22"/>
        <v>204</v>
      </c>
      <c r="L196" t="str">
        <f t="shared" si="23"/>
        <v>ΚΕΝΤΡΙΚΗΣ ΜΑΚΕΔΟΝΙΑΣ</v>
      </c>
      <c r="M196" t="str">
        <f t="shared" si="24"/>
        <v>ΚΕΝΤΡΙΚΗΣ ΜΑΚΕΔΟΝΙΑΣ - ΝΕΑΣ ΠΡΟΠΟΝΤΙΔΑΣ</v>
      </c>
      <c r="N196" s="197">
        <f t="shared" si="26"/>
        <v>14322</v>
      </c>
      <c r="O196" s="197" t="str">
        <f t="shared" si="27"/>
        <v>Νέας Προποντίδας</v>
      </c>
    </row>
    <row r="197" spans="1:15" x14ac:dyDescent="0.25">
      <c r="A197" s="199">
        <v>196</v>
      </c>
      <c r="B197" t="s">
        <v>410</v>
      </c>
      <c r="C197" t="s">
        <v>387</v>
      </c>
      <c r="D197" t="s">
        <v>253</v>
      </c>
      <c r="E197" t="str">
        <f t="shared" si="21"/>
        <v xml:space="preserve">ΚΕΝΤΡΙΚΗΣ ΜΑΚΕΔΟΝΙΑΣ - ΚΑΣΣΑΝΔΡΑΣ, </v>
      </c>
      <c r="F197" s="225" t="s">
        <v>770</v>
      </c>
      <c r="G197" s="225">
        <v>14200</v>
      </c>
      <c r="H197" t="str">
        <f>IFERROR(INDEX(DimosNaiOxi,MATCH(ΤΚ!E197,DimosNai,0)),"")</f>
        <v/>
      </c>
      <c r="I197" t="str">
        <f>LOOKUP(B197,ΠΕΡΙΦΕΡΕΙΑ!$A$2:$A$14,ΠΕΡΙΦΕΡΕΙΑ!$B$2:$B$14)</f>
        <v>Ολική</v>
      </c>
      <c r="J197">
        <f t="shared" si="25"/>
        <v>196</v>
      </c>
      <c r="K197" s="199">
        <f t="shared" si="22"/>
        <v>205</v>
      </c>
      <c r="L197" t="str">
        <f t="shared" si="23"/>
        <v>ΚΕΝΤΡΙΚΗΣ ΜΑΚΕΔΟΝΙΑΣ</v>
      </c>
      <c r="M197" t="str">
        <f t="shared" si="24"/>
        <v>ΚΕΝΤΡΙΚΗΣ ΜΑΚΕΔΟΝΙΑΣ - ΠΑΙΟΝΙΑΣ</v>
      </c>
      <c r="N197" s="197">
        <f t="shared" si="26"/>
        <v>14388</v>
      </c>
      <c r="O197" s="197" t="str">
        <f t="shared" si="27"/>
        <v>Παιονίας</v>
      </c>
    </row>
    <row r="198" spans="1:15" x14ac:dyDescent="0.25">
      <c r="A198" s="199">
        <v>197</v>
      </c>
      <c r="B198" t="s">
        <v>410</v>
      </c>
      <c r="C198" t="s">
        <v>386</v>
      </c>
      <c r="D198" t="s">
        <v>243</v>
      </c>
      <c r="E198" t="str">
        <f t="shared" si="21"/>
        <v xml:space="preserve">ΚΕΝΤΡΙΚΗΣ ΜΑΚΕΔΟΝΙΑΣ - ΚΑΤΕΡΙΝΗΣ, </v>
      </c>
      <c r="F198" s="225" t="s">
        <v>771</v>
      </c>
      <c r="G198" s="225">
        <v>14204</v>
      </c>
      <c r="H198" t="str">
        <f>IFERROR(INDEX(DimosNaiOxi,MATCH(ΤΚ!E198,DimosNai,0)),"")</f>
        <v/>
      </c>
      <c r="I198" t="str">
        <f>LOOKUP(B198,ΠΕΡΙΦΕΡΕΙΑ!$A$2:$A$14,ΠΕΡΙΦΕΡΕΙΑ!$B$2:$B$14)</f>
        <v>Ολική</v>
      </c>
      <c r="J198">
        <f t="shared" si="25"/>
        <v>197</v>
      </c>
      <c r="K198" s="199">
        <f t="shared" si="22"/>
        <v>206</v>
      </c>
      <c r="L198" t="str">
        <f t="shared" si="23"/>
        <v>ΚΕΝΤΡΙΚΗΣ ΜΑΚΕΔΟΝΙΑΣ</v>
      </c>
      <c r="M198" t="str">
        <f t="shared" si="24"/>
        <v>ΚΕΝΤΡΙΚΗΣ ΜΑΚΕΔΟΝΙΑΣ - ΠΑΥΛΟΥ ΜΕΛΑ</v>
      </c>
      <c r="N198" s="197">
        <f t="shared" si="26"/>
        <v>14382</v>
      </c>
      <c r="O198" s="197" t="str">
        <f t="shared" si="27"/>
        <v>Παύλου Μελά</v>
      </c>
    </row>
    <row r="199" spans="1:15" x14ac:dyDescent="0.25">
      <c r="A199" s="199">
        <v>198</v>
      </c>
      <c r="B199" t="s">
        <v>410</v>
      </c>
      <c r="C199" t="s">
        <v>236</v>
      </c>
      <c r="D199" t="s">
        <v>236</v>
      </c>
      <c r="E199" t="str">
        <f t="shared" si="21"/>
        <v xml:space="preserve">ΚΕΝΤΡΙΚΗΣ ΜΑΚΕΔΟΝΙΑΣ - ΚΙΛΚΙΣ, </v>
      </c>
      <c r="F199" s="225" t="s">
        <v>772</v>
      </c>
      <c r="G199" s="225">
        <v>14216</v>
      </c>
      <c r="H199" t="str">
        <f>IFERROR(INDEX(DimosNaiOxi,MATCH(ΤΚ!E199,DimosNai,0)),"")</f>
        <v/>
      </c>
      <c r="I199" t="str">
        <f>LOOKUP(B199,ΠΕΡΙΦΕΡΕΙΑ!$A$2:$A$14,ΠΕΡΙΦΕΡΕΙΑ!$B$2:$B$14)</f>
        <v>Ολική</v>
      </c>
      <c r="J199">
        <f t="shared" si="25"/>
        <v>198</v>
      </c>
      <c r="K199" s="199">
        <f t="shared" si="22"/>
        <v>207</v>
      </c>
      <c r="L199" t="str">
        <f t="shared" si="23"/>
        <v>ΚΕΝΤΡΙΚΗΣ ΜΑΚΕΔΟΝΙΑΣ</v>
      </c>
      <c r="M199" t="str">
        <f t="shared" si="24"/>
        <v>ΚΕΝΤΡΙΚΗΣ ΜΑΚΕΔΟΝΙΑΣ - ΠΕΛΛΑΣ</v>
      </c>
      <c r="N199" s="197">
        <f t="shared" si="26"/>
        <v>14370</v>
      </c>
      <c r="O199" s="197" t="str">
        <f t="shared" si="27"/>
        <v>Πέλλας</v>
      </c>
    </row>
    <row r="200" spans="1:15" x14ac:dyDescent="0.25">
      <c r="A200" s="199">
        <v>199</v>
      </c>
      <c r="B200" t="s">
        <v>410</v>
      </c>
      <c r="C200" t="s">
        <v>227</v>
      </c>
      <c r="D200" t="s">
        <v>229</v>
      </c>
      <c r="E200" t="str">
        <f t="shared" si="21"/>
        <v xml:space="preserve">ΚΕΝΤΡΙΚΗΣ ΜΑΚΕΔΟΝΙΑΣ - ΚΟΡΔΕΛΙΟΥ – ΕΥΟΣΜΟΥ, </v>
      </c>
      <c r="F200" s="225" t="s">
        <v>773</v>
      </c>
      <c r="G200" s="225">
        <v>14226</v>
      </c>
      <c r="H200" t="str">
        <f>IFERROR(INDEX(DimosNaiOxi,MATCH(ΤΚ!E200,DimosNai,0)),"")</f>
        <v/>
      </c>
      <c r="I200" t="str">
        <f>LOOKUP(B200,ΠΕΡΙΦΕΡΕΙΑ!$A$2:$A$14,ΠΕΡΙΦΕΡΕΙΑ!$B$2:$B$14)</f>
        <v>Ολική</v>
      </c>
      <c r="J200">
        <f t="shared" si="25"/>
        <v>199</v>
      </c>
      <c r="K200" s="199">
        <f t="shared" si="22"/>
        <v>208</v>
      </c>
      <c r="L200" t="str">
        <f t="shared" si="23"/>
        <v>ΚΕΝΤΡΙΚΗΣ ΜΑΚΕΔΟΝΙΑΣ</v>
      </c>
      <c r="M200" t="str">
        <f t="shared" si="24"/>
        <v>ΚΕΝΤΡΙΚΗΣ ΜΑΚΕΔΟΝΙΑΣ - ΠΟΛΥΓΥΡΟΥ</v>
      </c>
      <c r="N200" s="197">
        <f t="shared" si="26"/>
        <v>14418</v>
      </c>
      <c r="O200" s="197" t="str">
        <f t="shared" si="27"/>
        <v>Πολυγύρου</v>
      </c>
    </row>
    <row r="201" spans="1:15" x14ac:dyDescent="0.25">
      <c r="A201" s="199">
        <v>200</v>
      </c>
      <c r="B201" t="s">
        <v>410</v>
      </c>
      <c r="C201" t="s">
        <v>227</v>
      </c>
      <c r="D201" t="s">
        <v>230</v>
      </c>
      <c r="E201" t="str">
        <f t="shared" si="21"/>
        <v xml:space="preserve">ΚΕΝΤΡΙΚΗΣ ΜΑΚΕΔΟΝΙΑΣ - ΛΑΓΚΑΔΑ, </v>
      </c>
      <c r="F201" s="225" t="s">
        <v>774</v>
      </c>
      <c r="G201" s="225">
        <v>14246</v>
      </c>
      <c r="H201" t="str">
        <f>IFERROR(INDEX(DimosNaiOxi,MATCH(ΤΚ!E201,DimosNai,0)),"")</f>
        <v/>
      </c>
      <c r="I201" t="str">
        <f>LOOKUP(B201,ΠΕΡΙΦΕΡΕΙΑ!$A$2:$A$14,ΠΕΡΙΦΕΡΕΙΑ!$B$2:$B$14)</f>
        <v>Ολική</v>
      </c>
      <c r="J201">
        <f t="shared" si="25"/>
        <v>200</v>
      </c>
      <c r="K201" s="199">
        <f t="shared" si="22"/>
        <v>209</v>
      </c>
      <c r="L201" t="str">
        <f t="shared" si="23"/>
        <v>ΚΕΝΤΡΙΚΗΣ ΜΑΚΕΔΟΝΙΑΣ</v>
      </c>
      <c r="M201" t="str">
        <f t="shared" si="24"/>
        <v>ΚΕΝΤΡΙΚΗΣ ΜΑΚΕΔΟΝΙΑΣ - ΠΥΔΝΑΣ – ΚΟΛΙΝΔΡΟΥ</v>
      </c>
      <c r="N201" s="197">
        <f t="shared" si="26"/>
        <v>14374</v>
      </c>
      <c r="O201" s="197" t="str">
        <f t="shared" si="27"/>
        <v>Πύδνας - Κολινδρού</v>
      </c>
    </row>
    <row r="202" spans="1:15" x14ac:dyDescent="0.25">
      <c r="A202" s="199">
        <v>201</v>
      </c>
      <c r="B202" t="s">
        <v>410</v>
      </c>
      <c r="C202" t="s">
        <v>385</v>
      </c>
      <c r="D202" t="s">
        <v>221</v>
      </c>
      <c r="E202" t="str">
        <f t="shared" si="21"/>
        <v xml:space="preserve">ΚΕΝΤΡΙΚΗΣ ΜΑΚΕΔΟΝΙΑΣ - ΝΑΟΥΣΑΣ, </v>
      </c>
      <c r="F202" s="225" t="s">
        <v>775</v>
      </c>
      <c r="G202" s="225">
        <v>14314</v>
      </c>
      <c r="H202" t="str">
        <f>IFERROR(INDEX(DimosNaiOxi,MATCH(ΤΚ!E202,DimosNai,0)),"")</f>
        <v/>
      </c>
      <c r="I202" t="str">
        <f>LOOKUP(B202,ΠΕΡΙΦΕΡΕΙΑ!$A$2:$A$14,ΠΕΡΙΦΕΡΕΙΑ!$B$2:$B$14)</f>
        <v>Ολική</v>
      </c>
      <c r="J202">
        <f t="shared" si="25"/>
        <v>201</v>
      </c>
      <c r="K202" s="199">
        <f t="shared" si="22"/>
        <v>210</v>
      </c>
      <c r="L202" t="str">
        <f t="shared" si="23"/>
        <v>ΚΕΝΤΡΙΚΗΣ ΜΑΚΕΔΟΝΙΑΣ</v>
      </c>
      <c r="M202" t="str">
        <f t="shared" si="24"/>
        <v>ΚΕΝΤΡΙΚΗΣ ΜΑΚΕΔΟΝΙΑΣ - ΠΥΛΑΙΑΣ – ΧΟΡΤΙΑΤΗ</v>
      </c>
      <c r="N202" s="197">
        <f t="shared" si="26"/>
        <v>14426</v>
      </c>
      <c r="O202" s="197" t="str">
        <f t="shared" si="27"/>
        <v>Πυλαίας - Χορτιάτη</v>
      </c>
    </row>
    <row r="203" spans="1:15" x14ac:dyDescent="0.25">
      <c r="A203" s="199">
        <v>202</v>
      </c>
      <c r="B203" t="s">
        <v>410</v>
      </c>
      <c r="C203" t="s">
        <v>227</v>
      </c>
      <c r="D203" t="s">
        <v>231</v>
      </c>
      <c r="E203" t="str">
        <f t="shared" si="21"/>
        <v xml:space="preserve">ΚΕΝΤΡΙΚΗΣ ΜΑΚΕΔΟΝΙΑΣ - ΝΕΑΠΟΛΗΣ – ΣΥΚΕΩΝ, </v>
      </c>
      <c r="F203" s="225" t="s">
        <v>776</v>
      </c>
      <c r="G203" s="225">
        <v>14316</v>
      </c>
      <c r="H203" t="str">
        <f>IFERROR(INDEX(DimosNaiOxi,MATCH(ΤΚ!E203,DimosNai,0)),"")</f>
        <v/>
      </c>
      <c r="I203" t="str">
        <f>LOOKUP(B203,ΠΕΡΙΦΕΡΕΙΑ!$A$2:$A$14,ΠΕΡΙΦΕΡΕΙΑ!$B$2:$B$14)</f>
        <v>Ολική</v>
      </c>
      <c r="J203">
        <f t="shared" si="25"/>
        <v>202</v>
      </c>
      <c r="K203" s="199">
        <f t="shared" si="22"/>
        <v>211</v>
      </c>
      <c r="L203" t="str">
        <f t="shared" si="23"/>
        <v>ΚΕΝΤΡΙΚΗΣ ΜΑΚΕΔΟΝΙΑΣ</v>
      </c>
      <c r="M203" t="str">
        <f t="shared" si="24"/>
        <v>ΚΕΝΤΡΙΚΗΣ ΜΑΚΕΔΟΝΙΑΣ - ΣΕΡΡΩΝ</v>
      </c>
      <c r="N203" s="197">
        <f t="shared" si="26"/>
        <v>14456</v>
      </c>
      <c r="O203" s="197" t="str">
        <f t="shared" si="27"/>
        <v>Σερρών</v>
      </c>
    </row>
    <row r="204" spans="1:15" x14ac:dyDescent="0.25">
      <c r="A204" s="199">
        <v>203</v>
      </c>
      <c r="B204" t="s">
        <v>410</v>
      </c>
      <c r="C204" t="s">
        <v>250</v>
      </c>
      <c r="D204" t="s">
        <v>249</v>
      </c>
      <c r="E204" t="str">
        <f t="shared" si="21"/>
        <v xml:space="preserve">ΚΕΝΤΡΙΚΗΣ ΜΑΚΕΔΟΝΙΑΣ - ΝΕΑΣ ΖΙΧΝΗΣ, </v>
      </c>
      <c r="F204" s="225" t="s">
        <v>777</v>
      </c>
      <c r="G204" s="225">
        <v>14318</v>
      </c>
      <c r="H204" t="str">
        <f>IFERROR(INDEX(DimosNaiOxi,MATCH(ΤΚ!E204,DimosNai,0)),"")</f>
        <v/>
      </c>
      <c r="I204" t="str">
        <f>LOOKUP(B204,ΠΕΡΙΦΕΡΕΙΑ!$A$2:$A$14,ΠΕΡΙΦΕΡΕΙΑ!$B$2:$B$14)</f>
        <v>Ολική</v>
      </c>
      <c r="J204">
        <f t="shared" si="25"/>
        <v>203</v>
      </c>
      <c r="K204" s="199">
        <f t="shared" si="22"/>
        <v>212</v>
      </c>
      <c r="L204" t="str">
        <f t="shared" si="23"/>
        <v>ΚΕΝΤΡΙΚΗΣ ΜΑΚΕΔΟΝΙΑΣ</v>
      </c>
      <c r="M204" t="str">
        <f t="shared" si="24"/>
        <v>ΚΕΝΤΡΙΚΗΣ ΜΑΚΕΔΟΝΙΑΣ - ΣΙΘΩΝΙΑΣ</v>
      </c>
      <c r="N204" s="197">
        <f t="shared" si="26"/>
        <v>14460</v>
      </c>
      <c r="O204" s="197" t="str">
        <f t="shared" si="27"/>
        <v>Σιθωνίας</v>
      </c>
    </row>
    <row r="205" spans="1:15" x14ac:dyDescent="0.25">
      <c r="A205" s="199">
        <v>204</v>
      </c>
      <c r="B205" t="s">
        <v>410</v>
      </c>
      <c r="C205" t="s">
        <v>387</v>
      </c>
      <c r="D205" t="s">
        <v>254</v>
      </c>
      <c r="E205" t="str">
        <f t="shared" si="21"/>
        <v xml:space="preserve">ΚΕΝΤΡΙΚΗΣ ΜΑΚΕΔΟΝΙΑΣ - ΝΕΑΣ ΠΡΟΠΟΝΤΙΔΑΣ, </v>
      </c>
      <c r="F205" s="225" t="s">
        <v>778</v>
      </c>
      <c r="G205" s="225">
        <v>14322</v>
      </c>
      <c r="H205" t="str">
        <f>IFERROR(INDEX(DimosNaiOxi,MATCH(ΤΚ!E205,DimosNai,0)),"")</f>
        <v/>
      </c>
      <c r="I205" t="str">
        <f>LOOKUP(B205,ΠΕΡΙΦΕΡΕΙΑ!$A$2:$A$14,ΠΕΡΙΦΕΡΕΙΑ!$B$2:$B$14)</f>
        <v>Ολική</v>
      </c>
      <c r="J205">
        <f t="shared" si="25"/>
        <v>204</v>
      </c>
      <c r="K205" s="199">
        <f t="shared" si="22"/>
        <v>213</v>
      </c>
      <c r="L205" t="str">
        <f t="shared" si="23"/>
        <v>ΚΕΝΤΡΙΚΗΣ ΜΑΚΕΔΟΝΙΑΣ</v>
      </c>
      <c r="M205" t="str">
        <f t="shared" si="24"/>
        <v>ΚΕΝΤΡΙΚΗΣ ΜΑΚΕΔΟΝΙΑΣ - ΣΙΝΤΙΚΗΣ</v>
      </c>
      <c r="N205" s="197">
        <f t="shared" si="26"/>
        <v>14466</v>
      </c>
      <c r="O205" s="197" t="str">
        <f t="shared" si="27"/>
        <v>Σιντικής</v>
      </c>
    </row>
    <row r="206" spans="1:15" x14ac:dyDescent="0.25">
      <c r="A206" s="199">
        <v>205</v>
      </c>
      <c r="B206" t="s">
        <v>410</v>
      </c>
      <c r="C206" t="s">
        <v>236</v>
      </c>
      <c r="D206" t="s">
        <v>237</v>
      </c>
      <c r="E206" t="str">
        <f t="shared" si="21"/>
        <v xml:space="preserve">ΚΕΝΤΡΙΚΗΣ ΜΑΚΕΔΟΝΙΑΣ - ΠΑΙΟΝΙΑΣ, </v>
      </c>
      <c r="F206" s="225" t="s">
        <v>779</v>
      </c>
      <c r="G206" s="225">
        <v>14388</v>
      </c>
      <c r="H206" t="str">
        <f>IFERROR(INDEX(DimosNaiOxi,MATCH(ΤΚ!E206,DimosNai,0)),"")</f>
        <v/>
      </c>
      <c r="I206" t="str">
        <f>LOOKUP(B206,ΠΕΡΙΦΕΡΕΙΑ!$A$2:$A$14,ΠΕΡΙΦΕΡΕΙΑ!$B$2:$B$14)</f>
        <v>Ολική</v>
      </c>
      <c r="J206">
        <f t="shared" si="25"/>
        <v>205</v>
      </c>
      <c r="K206" s="199">
        <f t="shared" si="22"/>
        <v>214</v>
      </c>
      <c r="L206" t="str">
        <f t="shared" si="23"/>
        <v>ΚΕΝΤΡΙΚΗΣ ΜΑΚΕΔΟΝΙΑΣ</v>
      </c>
      <c r="M206" t="str">
        <f t="shared" si="24"/>
        <v>ΚΕΝΤΡΙΚΗΣ ΜΑΚΕΔΟΝΙΑΣ - ΣΚΥΔΡΑΣ</v>
      </c>
      <c r="N206" s="197">
        <f t="shared" si="26"/>
        <v>14468</v>
      </c>
      <c r="O206" s="197" t="str">
        <f t="shared" si="27"/>
        <v>Σκύδρας</v>
      </c>
    </row>
    <row r="207" spans="1:15" x14ac:dyDescent="0.25">
      <c r="A207" s="199">
        <v>206</v>
      </c>
      <c r="B207" t="s">
        <v>410</v>
      </c>
      <c r="C207" t="s">
        <v>227</v>
      </c>
      <c r="D207" t="s">
        <v>232</v>
      </c>
      <c r="E207" t="str">
        <f t="shared" si="21"/>
        <v xml:space="preserve">ΚΕΝΤΡΙΚΗΣ ΜΑΚΕΔΟΝΙΑΣ - ΠΑΥΛΟΥ ΜΕΛΑ, </v>
      </c>
      <c r="F207" s="225" t="s">
        <v>780</v>
      </c>
      <c r="G207" s="225">
        <v>14382</v>
      </c>
      <c r="H207" t="str">
        <f>IFERROR(INDEX(DimosNaiOxi,MATCH(ΤΚ!E207,DimosNai,0)),"")</f>
        <v/>
      </c>
      <c r="I207" t="str">
        <f>LOOKUP(B207,ΠΕΡΙΦΕΡΕΙΑ!$A$2:$A$14,ΠΕΡΙΦΕΡΕΙΑ!$B$2:$B$14)</f>
        <v>Ολική</v>
      </c>
      <c r="J207">
        <f t="shared" si="25"/>
        <v>206</v>
      </c>
      <c r="K207" s="199">
        <f t="shared" si="22"/>
        <v>215</v>
      </c>
      <c r="L207" t="str">
        <f t="shared" si="23"/>
        <v>ΚΕΝΤΡΙΚΗΣ ΜΑΚΕΔΟΝΙΑΣ</v>
      </c>
      <c r="M207" t="str">
        <f t="shared" si="24"/>
        <v>ΚΕΝΤΡΙΚΗΣ ΜΑΚΕΔΟΝΙΑΣ - ΧΑΛΚΗΔΟΝΟΣ</v>
      </c>
      <c r="N207" s="197">
        <f t="shared" si="26"/>
        <v>14538</v>
      </c>
      <c r="O207" s="197" t="str">
        <f t="shared" si="27"/>
        <v>Χαλκηδόνος</v>
      </c>
    </row>
    <row r="208" spans="1:15" x14ac:dyDescent="0.25">
      <c r="A208" s="199">
        <v>207</v>
      </c>
      <c r="B208" t="s">
        <v>410</v>
      </c>
      <c r="C208" t="s">
        <v>240</v>
      </c>
      <c r="D208" t="s">
        <v>240</v>
      </c>
      <c r="E208" t="str">
        <f t="shared" si="21"/>
        <v xml:space="preserve">ΚΕΝΤΡΙΚΗΣ ΜΑΚΕΔΟΝΙΑΣ - ΠΕΛΛΑΣ, </v>
      </c>
      <c r="F208" s="225" t="s">
        <v>781</v>
      </c>
      <c r="G208" s="225">
        <v>14370</v>
      </c>
      <c r="H208" t="str">
        <f>IFERROR(INDEX(DimosNaiOxi,MATCH(ΤΚ!E208,DimosNai,0)),"")</f>
        <v/>
      </c>
      <c r="I208" t="str">
        <f>LOOKUP(B208,ΠΕΡΙΦΕΡΕΙΑ!$A$2:$A$14,ΠΕΡΙΦΕΡΕΙΑ!$B$2:$B$14)</f>
        <v>Ολική</v>
      </c>
      <c r="J208">
        <f t="shared" si="25"/>
        <v>207</v>
      </c>
      <c r="K208" s="199">
        <f t="shared" si="22"/>
        <v>216</v>
      </c>
      <c r="L208" t="str">
        <f t="shared" si="23"/>
        <v>ΚΕΝΤΡΙΚΗΣ ΜΑΚΕΔΟΝΙΑΣ</v>
      </c>
      <c r="M208" t="str">
        <f t="shared" si="24"/>
        <v>ΚΕΝΤΡΙΚΗΣ ΜΑΚΕΔΟΝΙΑΣ - ΩΡΑΙΟΚΑΣΤΡΟΥ</v>
      </c>
      <c r="N208" s="197">
        <f t="shared" si="26"/>
        <v>14550</v>
      </c>
      <c r="O208" s="197" t="str">
        <f t="shared" si="27"/>
        <v>Ωραιοκάστρου</v>
      </c>
    </row>
    <row r="209" spans="1:15" x14ac:dyDescent="0.25">
      <c r="A209" s="199">
        <v>208</v>
      </c>
      <c r="B209" t="s">
        <v>410</v>
      </c>
      <c r="C209" t="s">
        <v>387</v>
      </c>
      <c r="D209" t="s">
        <v>255</v>
      </c>
      <c r="E209" t="str">
        <f t="shared" si="21"/>
        <v xml:space="preserve">ΚΕΝΤΡΙΚΗΣ ΜΑΚΕΔΟΝΙΑΣ - ΠΟΛΥΓΥΡΟΥ, </v>
      </c>
      <c r="F209" s="225" t="s">
        <v>782</v>
      </c>
      <c r="G209" s="225">
        <v>14418</v>
      </c>
      <c r="H209" t="str">
        <f>IFERROR(INDEX(DimosNaiOxi,MATCH(ΤΚ!E209,DimosNai,0)),"")</f>
        <v/>
      </c>
      <c r="I209" t="str">
        <f>LOOKUP(B209,ΠΕΡΙΦΕΡΕΙΑ!$A$2:$A$14,ΠΕΡΙΦΕΡΕΙΑ!$B$2:$B$14)</f>
        <v>Ολική</v>
      </c>
      <c r="J209">
        <f t="shared" si="25"/>
        <v>208</v>
      </c>
      <c r="K209" s="199">
        <f t="shared" si="22"/>
        <v>217</v>
      </c>
      <c r="L209" t="str">
        <f t="shared" si="23"/>
        <v>ΚΡΗΤΗΣ</v>
      </c>
      <c r="M209" t="str">
        <f t="shared" si="24"/>
        <v>ΚΡΗΤΗΣ - ΑΓΙΟΥ ΒΑΣΙΛΕΙΟΥ</v>
      </c>
      <c r="N209" s="197">
        <f t="shared" si="26"/>
        <v>13926</v>
      </c>
      <c r="O209" s="197" t="str">
        <f t="shared" si="27"/>
        <v>Αγίου Βασιλείου</v>
      </c>
    </row>
    <row r="210" spans="1:15" x14ac:dyDescent="0.25">
      <c r="A210" s="199">
        <v>209</v>
      </c>
      <c r="B210" t="s">
        <v>410</v>
      </c>
      <c r="C210" t="s">
        <v>386</v>
      </c>
      <c r="D210" t="s">
        <v>244</v>
      </c>
      <c r="E210" t="str">
        <f t="shared" si="21"/>
        <v xml:space="preserve">ΚΕΝΤΡΙΚΗΣ ΜΑΚΕΔΟΝΙΑΣ - ΠΥΔΝΑΣ – ΚΟΛΙΝΔΡΟΥ, </v>
      </c>
      <c r="F210" s="225" t="s">
        <v>783</v>
      </c>
      <c r="G210" s="225">
        <v>14374</v>
      </c>
      <c r="H210" t="str">
        <f>IFERROR(INDEX(DimosNaiOxi,MATCH(ΤΚ!E210,DimosNai,0)),"")</f>
        <v/>
      </c>
      <c r="I210" t="str">
        <f>LOOKUP(B210,ΠΕΡΙΦΕΡΕΙΑ!$A$2:$A$14,ΠΕΡΙΦΕΡΕΙΑ!$B$2:$B$14)</f>
        <v>Ολική</v>
      </c>
      <c r="J210">
        <f t="shared" si="25"/>
        <v>209</v>
      </c>
      <c r="K210" s="199">
        <f t="shared" si="22"/>
        <v>218</v>
      </c>
      <c r="L210" t="str">
        <f t="shared" si="23"/>
        <v>ΚΡΗΤΗΣ</v>
      </c>
      <c r="M210" t="str">
        <f t="shared" si="24"/>
        <v>ΚΡΗΤΗΣ - ΑΓΙΟΥ ΝΙΚΟΛΑΟΥ</v>
      </c>
      <c r="N210" s="197">
        <f t="shared" si="26"/>
        <v>13932</v>
      </c>
      <c r="O210" s="197" t="str">
        <f t="shared" si="27"/>
        <v>Αγίου Νικολάου</v>
      </c>
    </row>
    <row r="211" spans="1:15" x14ac:dyDescent="0.25">
      <c r="A211" s="199">
        <v>210</v>
      </c>
      <c r="B211" t="s">
        <v>410</v>
      </c>
      <c r="C211" t="s">
        <v>227</v>
      </c>
      <c r="D211" t="s">
        <v>233</v>
      </c>
      <c r="E211" t="str">
        <f t="shared" si="21"/>
        <v xml:space="preserve">ΚΕΝΤΡΙΚΗΣ ΜΑΚΕΔΟΝΙΑΣ - ΠΥΛΑΙΑΣ – ΧΟΡΤΙΑΤΗ, </v>
      </c>
      <c r="F211" s="225" t="s">
        <v>784</v>
      </c>
      <c r="G211" s="225">
        <v>14426</v>
      </c>
      <c r="H211" t="str">
        <f>IFERROR(INDEX(DimosNaiOxi,MATCH(ΤΚ!E211,DimosNai,0)),"")</f>
        <v/>
      </c>
      <c r="I211" t="str">
        <f>LOOKUP(B211,ΠΕΡΙΦΕΡΕΙΑ!$A$2:$A$14,ΠΕΡΙΦΕΡΕΙΑ!$B$2:$B$14)</f>
        <v>Ολική</v>
      </c>
      <c r="J211">
        <f t="shared" si="25"/>
        <v>210</v>
      </c>
      <c r="K211" s="199">
        <f t="shared" si="22"/>
        <v>219</v>
      </c>
      <c r="L211" t="str">
        <f t="shared" si="23"/>
        <v>ΚΡΗΤΗΣ</v>
      </c>
      <c r="M211" t="str">
        <f t="shared" si="24"/>
        <v>ΚΡΗΤΗΣ - ΑΜΑΡΙΟΥ</v>
      </c>
      <c r="N211" s="197">
        <f t="shared" si="26"/>
        <v>13966</v>
      </c>
      <c r="O211" s="197" t="str">
        <f t="shared" si="27"/>
        <v>Αμάριου</v>
      </c>
    </row>
    <row r="212" spans="1:15" x14ac:dyDescent="0.25">
      <c r="A212" s="199">
        <v>211</v>
      </c>
      <c r="B212" t="s">
        <v>410</v>
      </c>
      <c r="C212" t="s">
        <v>250</v>
      </c>
      <c r="D212" t="s">
        <v>250</v>
      </c>
      <c r="E212" t="str">
        <f t="shared" si="21"/>
        <v xml:space="preserve">ΚΕΝΤΡΙΚΗΣ ΜΑΚΕΔΟΝΙΑΣ - ΣΕΡΡΩΝ, </v>
      </c>
      <c r="F212" s="225" t="s">
        <v>785</v>
      </c>
      <c r="G212" s="225">
        <v>14456</v>
      </c>
      <c r="H212" t="str">
        <f>IFERROR(INDEX(DimosNaiOxi,MATCH(ΤΚ!E212,DimosNai,0)),"")</f>
        <v/>
      </c>
      <c r="I212" t="str">
        <f>LOOKUP(B212,ΠΕΡΙΦΕΡΕΙΑ!$A$2:$A$14,ΠΕΡΙΦΕΡΕΙΑ!$B$2:$B$14)</f>
        <v>Ολική</v>
      </c>
      <c r="J212">
        <f t="shared" si="25"/>
        <v>211</v>
      </c>
      <c r="K212" s="199">
        <f t="shared" si="22"/>
        <v>220</v>
      </c>
      <c r="L212" t="str">
        <f t="shared" si="23"/>
        <v>ΚΡΗΤΗΣ</v>
      </c>
      <c r="M212" t="str">
        <f t="shared" si="24"/>
        <v>ΚΡΗΤΗΣ - ΑΝΩΓΕΙΩΝ</v>
      </c>
      <c r="N212" s="197">
        <f t="shared" si="26"/>
        <v>13992</v>
      </c>
      <c r="O212" s="197" t="str">
        <f t="shared" si="27"/>
        <v>Ανωγείων</v>
      </c>
    </row>
    <row r="213" spans="1:15" x14ac:dyDescent="0.25">
      <c r="A213" s="199">
        <v>212</v>
      </c>
      <c r="B213" t="s">
        <v>410</v>
      </c>
      <c r="C213" t="s">
        <v>387</v>
      </c>
      <c r="D213" t="s">
        <v>256</v>
      </c>
      <c r="E213" t="str">
        <f t="shared" si="21"/>
        <v xml:space="preserve">ΚΕΝΤΡΙΚΗΣ ΜΑΚΕΔΟΝΙΑΣ - ΣΙΘΩΝΙΑΣ, </v>
      </c>
      <c r="F213" s="225" t="s">
        <v>786</v>
      </c>
      <c r="G213" s="225">
        <v>14460</v>
      </c>
      <c r="H213" t="str">
        <f>IFERROR(INDEX(DimosNaiOxi,MATCH(ΤΚ!E213,DimosNai,0)),"")</f>
        <v/>
      </c>
      <c r="I213" t="str">
        <f>LOOKUP(B213,ΠΕΡΙΦΕΡΕΙΑ!$A$2:$A$14,ΠΕΡΙΦΕΡΕΙΑ!$B$2:$B$14)</f>
        <v>Ολική</v>
      </c>
      <c r="J213">
        <f t="shared" si="25"/>
        <v>212</v>
      </c>
      <c r="K213" s="199">
        <f t="shared" si="22"/>
        <v>221</v>
      </c>
      <c r="L213" t="str">
        <f t="shared" si="23"/>
        <v>ΚΡΗΤΗΣ</v>
      </c>
      <c r="M213" t="str">
        <f t="shared" si="24"/>
        <v>ΚΡΗΤΗΣ - ΑΠΟΚΟΡΩΝΟΥ</v>
      </c>
      <c r="N213" s="197">
        <f t="shared" si="26"/>
        <v>13994</v>
      </c>
      <c r="O213" s="197" t="str">
        <f t="shared" si="27"/>
        <v>Αποκορώνου</v>
      </c>
    </row>
    <row r="214" spans="1:15" x14ac:dyDescent="0.25">
      <c r="A214" s="199">
        <v>213</v>
      </c>
      <c r="B214" t="s">
        <v>410</v>
      </c>
      <c r="C214" t="s">
        <v>250</v>
      </c>
      <c r="D214" t="s">
        <v>251</v>
      </c>
      <c r="E214" t="str">
        <f t="shared" si="21"/>
        <v xml:space="preserve">ΚΕΝΤΡΙΚΗΣ ΜΑΚΕΔΟΝΙΑΣ - ΣΙΝΤΙΚΗΣ, </v>
      </c>
      <c r="F214" s="225" t="s">
        <v>787</v>
      </c>
      <c r="G214" s="225">
        <v>14466</v>
      </c>
      <c r="H214" t="str">
        <f>IFERROR(INDEX(DimosNaiOxi,MATCH(ΤΚ!E214,DimosNai,0)),"")</f>
        <v/>
      </c>
      <c r="I214" t="str">
        <f>LOOKUP(B214,ΠΕΡΙΦΕΡΕΙΑ!$A$2:$A$14,ΠΕΡΙΦΕΡΕΙΑ!$B$2:$B$14)</f>
        <v>Ολική</v>
      </c>
      <c r="J214">
        <f t="shared" si="25"/>
        <v>213</v>
      </c>
      <c r="K214" s="199">
        <f t="shared" si="22"/>
        <v>222</v>
      </c>
      <c r="L214" t="str">
        <f t="shared" si="23"/>
        <v>ΚΡΗΤΗΣ</v>
      </c>
      <c r="M214" t="str">
        <f t="shared" si="24"/>
        <v>ΚΡΗΤΗΣ - ΑΡΧΑΝΩΝ – ΑΣΤΕΡΟΥΣΙΩΝ</v>
      </c>
      <c r="N214" s="197">
        <f t="shared" si="26"/>
        <v>14006</v>
      </c>
      <c r="O214" s="197" t="str">
        <f t="shared" si="27"/>
        <v>Αρχανών - Αστερουσίων</v>
      </c>
    </row>
    <row r="215" spans="1:15" x14ac:dyDescent="0.25">
      <c r="A215" s="199">
        <v>214</v>
      </c>
      <c r="B215" t="s">
        <v>410</v>
      </c>
      <c r="C215" t="s">
        <v>240</v>
      </c>
      <c r="D215" t="s">
        <v>241</v>
      </c>
      <c r="E215" t="str">
        <f t="shared" si="21"/>
        <v xml:space="preserve">ΚΕΝΤΡΙΚΗΣ ΜΑΚΕΔΟΝΙΑΣ - ΣΚΥΔΡΑΣ, </v>
      </c>
      <c r="F215" s="225" t="s">
        <v>788</v>
      </c>
      <c r="G215" s="225">
        <v>14468</v>
      </c>
      <c r="H215" t="str">
        <f>IFERROR(INDEX(DimosNaiOxi,MATCH(ΤΚ!E215,DimosNai,0)),"")</f>
        <v/>
      </c>
      <c r="I215" t="str">
        <f>LOOKUP(B215,ΠΕΡΙΦΕΡΕΙΑ!$A$2:$A$14,ΠΕΡΙΦΕΡΕΙΑ!$B$2:$B$14)</f>
        <v>Ολική</v>
      </c>
      <c r="J215">
        <f t="shared" si="25"/>
        <v>214</v>
      </c>
      <c r="K215" s="199">
        <f t="shared" si="22"/>
        <v>223</v>
      </c>
      <c r="L215" t="str">
        <f t="shared" si="23"/>
        <v>ΚΡΗΤΗΣ</v>
      </c>
      <c r="M215" t="str">
        <f t="shared" si="24"/>
        <v>ΚΡΗΤΗΣ - ΒΙΑΝΝΟΥ</v>
      </c>
      <c r="N215" s="197">
        <f t="shared" si="26"/>
        <v>14028</v>
      </c>
      <c r="O215" s="197" t="str">
        <f t="shared" si="27"/>
        <v>Βιάννου</v>
      </c>
    </row>
    <row r="216" spans="1:15" x14ac:dyDescent="0.25">
      <c r="A216" s="199">
        <v>215</v>
      </c>
      <c r="B216" t="s">
        <v>410</v>
      </c>
      <c r="C216" t="s">
        <v>227</v>
      </c>
      <c r="D216" t="s">
        <v>234</v>
      </c>
      <c r="E216" t="str">
        <f t="shared" si="21"/>
        <v xml:space="preserve">ΚΕΝΤΡΙΚΗΣ ΜΑΚΕΔΟΝΙΑΣ - ΧΑΛΚΗΔΟΝΟΣ, </v>
      </c>
      <c r="F216" s="225" t="s">
        <v>789</v>
      </c>
      <c r="G216" s="225">
        <v>14538</v>
      </c>
      <c r="H216" t="str">
        <f>IFERROR(INDEX(DimosNaiOxi,MATCH(ΤΚ!E216,DimosNai,0)),"")</f>
        <v/>
      </c>
      <c r="I216" t="str">
        <f>LOOKUP(B216,ΠΕΡΙΦΕΡΕΙΑ!$A$2:$A$14,ΠΕΡΙΦΕΡΕΙΑ!$B$2:$B$14)</f>
        <v>Ολική</v>
      </c>
      <c r="J216">
        <f t="shared" si="25"/>
        <v>215</v>
      </c>
      <c r="K216" s="199">
        <f t="shared" si="22"/>
        <v>224</v>
      </c>
      <c r="L216" t="str">
        <f t="shared" si="23"/>
        <v>ΚΡΗΤΗΣ</v>
      </c>
      <c r="M216" t="str">
        <f t="shared" si="24"/>
        <v>ΚΡΗΤΗΣ - ΓΑΥΔΟΥ</v>
      </c>
      <c r="N216" s="197">
        <f t="shared" si="26"/>
        <v>14040</v>
      </c>
      <c r="O216" s="197" t="str">
        <f t="shared" si="27"/>
        <v>Γαύδου</v>
      </c>
    </row>
    <row r="217" spans="1:15" x14ac:dyDescent="0.25">
      <c r="A217" s="199">
        <v>216</v>
      </c>
      <c r="B217" t="s">
        <v>410</v>
      </c>
      <c r="C217" t="s">
        <v>227</v>
      </c>
      <c r="D217" t="s">
        <v>235</v>
      </c>
      <c r="E217" t="str">
        <f t="shared" si="21"/>
        <v xml:space="preserve">ΚΕΝΤΡΙΚΗΣ ΜΑΚΕΔΟΝΙΑΣ - ΩΡΑΙΟΚΑΣΤΡΟΥ, </v>
      </c>
      <c r="F217" s="225" t="s">
        <v>790</v>
      </c>
      <c r="G217" s="225">
        <v>14550</v>
      </c>
      <c r="H217" t="str">
        <f>IFERROR(INDEX(DimosNaiOxi,MATCH(ΤΚ!E217,DimosNai,0)),"")</f>
        <v/>
      </c>
      <c r="I217" t="str">
        <f>LOOKUP(B217,ΠΕΡΙΦΕΡΕΙΑ!$A$2:$A$14,ΠΕΡΙΦΕΡΕΙΑ!$B$2:$B$14)</f>
        <v>Ολική</v>
      </c>
      <c r="J217">
        <f t="shared" si="25"/>
        <v>216</v>
      </c>
      <c r="K217" s="199">
        <f t="shared" si="22"/>
        <v>225</v>
      </c>
      <c r="L217" t="str">
        <f t="shared" si="23"/>
        <v>ΚΡΗΤΗΣ</v>
      </c>
      <c r="M217" t="str">
        <f t="shared" si="24"/>
        <v>ΚΡΗΤΗΣ - ΓΟΡΤΥΝΑΣ</v>
      </c>
      <c r="N217" s="197">
        <f t="shared" si="26"/>
        <v>14038</v>
      </c>
      <c r="O217" s="197" t="str">
        <f t="shared" si="27"/>
        <v>Γόρτυνας</v>
      </c>
    </row>
    <row r="218" spans="1:15" x14ac:dyDescent="0.25">
      <c r="A218" s="199">
        <v>217</v>
      </c>
      <c r="B218" t="s">
        <v>411</v>
      </c>
      <c r="C218" t="s">
        <v>389</v>
      </c>
      <c r="D218" t="s">
        <v>268</v>
      </c>
      <c r="E218" t="str">
        <f t="shared" si="21"/>
        <v xml:space="preserve">ΚΡΗΤΗΣ - ΑΓΙΟΥ ΒΑΣΙΛΕΙΟΥ, </v>
      </c>
      <c r="F218" s="225" t="s">
        <v>791</v>
      </c>
      <c r="G218" s="225">
        <v>13926</v>
      </c>
      <c r="H218" t="str">
        <f>IFERROR(INDEX(DimosNaiOxi,MATCH(ΤΚ!E218,DimosNai,0)),"")</f>
        <v/>
      </c>
      <c r="I218" t="str">
        <f>LOOKUP(B218,ΠΕΡΙΦΕΡΕΙΑ!$A$2:$A$14,ΠΕΡΙΦΕΡΕΙΑ!$B$2:$B$14)</f>
        <v>Ολική</v>
      </c>
      <c r="J218">
        <f t="shared" si="25"/>
        <v>217</v>
      </c>
      <c r="K218" s="199">
        <f t="shared" si="22"/>
        <v>226</v>
      </c>
      <c r="L218" t="str">
        <f t="shared" si="23"/>
        <v>ΚΡΗΤΗΣ</v>
      </c>
      <c r="M218" t="str">
        <f t="shared" si="24"/>
        <v>ΚΡΗΤΗΣ - ΗΡΑΚΛΕΙΟΥ</v>
      </c>
      <c r="N218" s="197">
        <f t="shared" si="26"/>
        <v>14126</v>
      </c>
      <c r="O218" s="197" t="str">
        <f t="shared" si="27"/>
        <v>Ηρακλείου</v>
      </c>
    </row>
    <row r="219" spans="1:15" x14ac:dyDescent="0.25">
      <c r="A219" s="199">
        <v>218</v>
      </c>
      <c r="B219" t="s">
        <v>411</v>
      </c>
      <c r="C219" t="s">
        <v>388</v>
      </c>
      <c r="D219" t="s">
        <v>264</v>
      </c>
      <c r="E219" t="str">
        <f t="shared" si="21"/>
        <v xml:space="preserve">ΚΡΗΤΗΣ - ΑΓΙΟΥ ΝΙΚΟΛΑΟΥ, </v>
      </c>
      <c r="F219" s="225" t="s">
        <v>792</v>
      </c>
      <c r="G219" s="225">
        <v>13932</v>
      </c>
      <c r="H219" t="str">
        <f>IFERROR(INDEX(DimosNaiOxi,MATCH(ΤΚ!E219,DimosNai,0)),"")</f>
        <v/>
      </c>
      <c r="I219" t="str">
        <f>LOOKUP(B219,ΠΕΡΙΦΕΡΕΙΑ!$A$2:$A$14,ΠΕΡΙΦΕΡΕΙΑ!$B$2:$B$14)</f>
        <v>Ολική</v>
      </c>
      <c r="J219">
        <f t="shared" si="25"/>
        <v>218</v>
      </c>
      <c r="K219" s="199">
        <f t="shared" si="22"/>
        <v>227</v>
      </c>
      <c r="L219" t="str">
        <f t="shared" si="23"/>
        <v>ΚΡΗΤΗΣ</v>
      </c>
      <c r="M219" t="str">
        <f t="shared" si="24"/>
        <v>ΚΡΗΤΗΣ - ΙΕΡΑΠΕΤΡΑΣ</v>
      </c>
      <c r="N219" s="197">
        <f t="shared" si="26"/>
        <v>14144</v>
      </c>
      <c r="O219" s="197" t="str">
        <f t="shared" si="27"/>
        <v>Ιεράπετρας</v>
      </c>
    </row>
    <row r="220" spans="1:15" x14ac:dyDescent="0.25">
      <c r="A220" s="199">
        <v>219</v>
      </c>
      <c r="B220" t="s">
        <v>411</v>
      </c>
      <c r="C220" t="s">
        <v>389</v>
      </c>
      <c r="D220" t="s">
        <v>269</v>
      </c>
      <c r="E220" t="str">
        <f t="shared" si="21"/>
        <v xml:space="preserve">ΚΡΗΤΗΣ - ΑΜΑΡΙΟΥ, </v>
      </c>
      <c r="F220" s="225" t="s">
        <v>793</v>
      </c>
      <c r="G220" s="225">
        <v>13966</v>
      </c>
      <c r="H220" t="str">
        <f>IFERROR(INDEX(DimosNaiOxi,MATCH(ΤΚ!E220,DimosNai,0)),"")</f>
        <v/>
      </c>
      <c r="I220" t="str">
        <f>LOOKUP(B220,ΠΕΡΙΦΕΡΕΙΑ!$A$2:$A$14,ΠΕΡΙΦΕΡΕΙΑ!$B$2:$B$14)</f>
        <v>Ολική</v>
      </c>
      <c r="J220">
        <f t="shared" si="25"/>
        <v>219</v>
      </c>
      <c r="K220" s="199">
        <f t="shared" si="22"/>
        <v>228</v>
      </c>
      <c r="L220" t="str">
        <f t="shared" si="23"/>
        <v>ΚΡΗΤΗΣ</v>
      </c>
      <c r="M220" t="str">
        <f t="shared" si="24"/>
        <v>ΚΡΗΤΗΣ - ΚΑΝΤΑΝΟΥ – ΣΕΛΙΝΟΥ</v>
      </c>
      <c r="N220" s="197">
        <f t="shared" si="26"/>
        <v>14190</v>
      </c>
      <c r="O220" s="197" t="str">
        <f t="shared" si="27"/>
        <v>Καντάνου - Σέλινου</v>
      </c>
    </row>
    <row r="221" spans="1:15" x14ac:dyDescent="0.25">
      <c r="A221" s="199">
        <v>220</v>
      </c>
      <c r="B221" t="s">
        <v>411</v>
      </c>
      <c r="C221" t="s">
        <v>389</v>
      </c>
      <c r="D221" t="s">
        <v>270</v>
      </c>
      <c r="E221" t="str">
        <f t="shared" si="21"/>
        <v xml:space="preserve">ΚΡΗΤΗΣ - ΑΝΩΓΕΙΩΝ, </v>
      </c>
      <c r="F221" s="225" t="s">
        <v>794</v>
      </c>
      <c r="G221" s="225">
        <v>13992</v>
      </c>
      <c r="H221" t="str">
        <f>IFERROR(INDEX(DimosNaiOxi,MATCH(ΤΚ!E221,DimosNai,0)),"")</f>
        <v/>
      </c>
      <c r="I221" t="str">
        <f>LOOKUP(B221,ΠΕΡΙΦΕΡΕΙΑ!$A$2:$A$14,ΠΕΡΙΦΕΡΕΙΑ!$B$2:$B$14)</f>
        <v>Ολική</v>
      </c>
      <c r="J221">
        <f t="shared" si="25"/>
        <v>220</v>
      </c>
      <c r="K221" s="199">
        <f t="shared" si="22"/>
        <v>229</v>
      </c>
      <c r="L221" t="str">
        <f t="shared" si="23"/>
        <v>ΚΡΗΤΗΣ</v>
      </c>
      <c r="M221" t="str">
        <f t="shared" si="24"/>
        <v>ΚΡΗΤΗΣ - ΚΙΣΣΑΜΟΥ</v>
      </c>
      <c r="N221" s="197">
        <f t="shared" si="26"/>
        <v>14220</v>
      </c>
      <c r="O221" s="197" t="str">
        <f t="shared" si="27"/>
        <v>Κισσάμου</v>
      </c>
    </row>
    <row r="222" spans="1:15" x14ac:dyDescent="0.25">
      <c r="A222" s="199">
        <v>221</v>
      </c>
      <c r="B222" t="s">
        <v>411</v>
      </c>
      <c r="C222" t="s">
        <v>279</v>
      </c>
      <c r="D222" t="s">
        <v>273</v>
      </c>
      <c r="E222" t="str">
        <f t="shared" si="21"/>
        <v xml:space="preserve">ΚΡΗΤΗΣ - ΑΠΟΚΟΡΩΝΟΥ, </v>
      </c>
      <c r="F222" s="225" t="s">
        <v>795</v>
      </c>
      <c r="G222" s="225">
        <v>13994</v>
      </c>
      <c r="H222" t="str">
        <f>IFERROR(INDEX(DimosNaiOxi,MATCH(ΤΚ!E222,DimosNai,0)),"")</f>
        <v/>
      </c>
      <c r="I222" t="str">
        <f>LOOKUP(B222,ΠΕΡΙΦΕΡΕΙΑ!$A$2:$A$14,ΠΕΡΙΦΕΡΕΙΑ!$B$2:$B$14)</f>
        <v>Ολική</v>
      </c>
      <c r="J222">
        <f t="shared" si="25"/>
        <v>221</v>
      </c>
      <c r="K222" s="199">
        <f t="shared" si="22"/>
        <v>230</v>
      </c>
      <c r="L222" t="str">
        <f t="shared" si="23"/>
        <v>ΚΡΗΤΗΣ</v>
      </c>
      <c r="M222" t="str">
        <f t="shared" si="24"/>
        <v>ΚΡΗΤΗΣ - ΜΑΛΕΒΙΖΙΟΥ</v>
      </c>
      <c r="N222" s="197">
        <f t="shared" si="26"/>
        <v>14276</v>
      </c>
      <c r="O222" s="197" t="str">
        <f t="shared" si="27"/>
        <v>Μαλεβιζίου</v>
      </c>
    </row>
    <row r="223" spans="1:15" x14ac:dyDescent="0.25">
      <c r="A223" s="199">
        <v>222</v>
      </c>
      <c r="B223" t="s">
        <v>411</v>
      </c>
      <c r="C223" t="s">
        <v>79</v>
      </c>
      <c r="D223" t="s">
        <v>257</v>
      </c>
      <c r="E223" t="str">
        <f t="shared" si="21"/>
        <v xml:space="preserve">ΚΡΗΤΗΣ - ΑΡΧΑΝΩΝ – ΑΣΤΕΡΟΥΣΙΩΝ, </v>
      </c>
      <c r="F223" s="225" t="s">
        <v>796</v>
      </c>
      <c r="G223" s="225">
        <v>14006</v>
      </c>
      <c r="H223" t="str">
        <f>IFERROR(INDEX(DimosNaiOxi,MATCH(ΤΚ!E223,DimosNai,0)),"")</f>
        <v/>
      </c>
      <c r="I223" t="str">
        <f>LOOKUP(B223,ΠΕΡΙΦΕΡΕΙΑ!$A$2:$A$14,ΠΕΡΙΦΕΡΕΙΑ!$B$2:$B$14)</f>
        <v>Ολική</v>
      </c>
      <c r="J223">
        <f t="shared" si="25"/>
        <v>222</v>
      </c>
      <c r="K223" s="199">
        <f t="shared" si="22"/>
        <v>231</v>
      </c>
      <c r="L223" t="str">
        <f t="shared" si="23"/>
        <v>ΚΡΗΤΗΣ</v>
      </c>
      <c r="M223" t="str">
        <f t="shared" si="24"/>
        <v>ΚΡΗΤΗΣ - ΜΙΝΩΑ ΠΕΔΙΑΔΑΣ</v>
      </c>
      <c r="N223" s="197">
        <f t="shared" si="26"/>
        <v>14300</v>
      </c>
      <c r="O223" s="197" t="str">
        <f t="shared" si="27"/>
        <v>Μινώα Πεδιάδας</v>
      </c>
    </row>
    <row r="224" spans="1:15" x14ac:dyDescent="0.25">
      <c r="A224" s="199">
        <v>223</v>
      </c>
      <c r="B224" t="s">
        <v>411</v>
      </c>
      <c r="C224" t="s">
        <v>79</v>
      </c>
      <c r="D224" t="s">
        <v>258</v>
      </c>
      <c r="E224" t="str">
        <f t="shared" si="21"/>
        <v xml:space="preserve">ΚΡΗΤΗΣ - ΒΙΑΝΝΟΥ, </v>
      </c>
      <c r="F224" s="225" t="s">
        <v>797</v>
      </c>
      <c r="G224" s="225">
        <v>14028</v>
      </c>
      <c r="H224" t="str">
        <f>IFERROR(INDEX(DimosNaiOxi,MATCH(ΤΚ!E224,DimosNai,0)),"")</f>
        <v/>
      </c>
      <c r="I224" t="str">
        <f>LOOKUP(B224,ΠΕΡΙΦΕΡΕΙΑ!$A$2:$A$14,ΠΕΡΙΦΕΡΕΙΑ!$B$2:$B$14)</f>
        <v>Ολική</v>
      </c>
      <c r="J224">
        <f t="shared" si="25"/>
        <v>223</v>
      </c>
      <c r="K224" s="199">
        <f t="shared" si="22"/>
        <v>232</v>
      </c>
      <c r="L224" t="str">
        <f t="shared" si="23"/>
        <v>ΚΡΗΤΗΣ</v>
      </c>
      <c r="M224" t="str">
        <f t="shared" si="24"/>
        <v>ΚΡΗΤΗΣ - ΜΥΛΟΠΟΤΑΜΟΥ</v>
      </c>
      <c r="N224" s="197">
        <f t="shared" si="26"/>
        <v>14310</v>
      </c>
      <c r="O224" s="197" t="str">
        <f t="shared" si="27"/>
        <v>Μυλοποτάμου</v>
      </c>
    </row>
    <row r="225" spans="1:15" x14ac:dyDescent="0.25">
      <c r="A225" s="199">
        <v>224</v>
      </c>
      <c r="B225" t="s">
        <v>411</v>
      </c>
      <c r="C225" t="s">
        <v>279</v>
      </c>
      <c r="D225" t="s">
        <v>274</v>
      </c>
      <c r="E225" t="str">
        <f t="shared" si="21"/>
        <v xml:space="preserve">ΚΡΗΤΗΣ - ΓΑΥΔΟΥ, </v>
      </c>
      <c r="F225" s="225" t="s">
        <v>798</v>
      </c>
      <c r="G225" s="225">
        <v>14040</v>
      </c>
      <c r="H225" t="str">
        <f>IFERROR(INDEX(DimosNaiOxi,MATCH(ΤΚ!E225,DimosNai,0)),"")</f>
        <v/>
      </c>
      <c r="I225" t="str">
        <f>LOOKUP(B225,ΠΕΡΙΦΕΡΕΙΑ!$A$2:$A$14,ΠΕΡΙΦΕΡΕΙΑ!$B$2:$B$14)</f>
        <v>Ολική</v>
      </c>
      <c r="J225">
        <f t="shared" si="25"/>
        <v>224</v>
      </c>
      <c r="K225" s="199">
        <f t="shared" si="22"/>
        <v>233</v>
      </c>
      <c r="L225" t="str">
        <f t="shared" si="23"/>
        <v>ΚΡΗΤΗΣ</v>
      </c>
      <c r="M225" t="str">
        <f t="shared" si="24"/>
        <v>ΚΡΗΤΗΣ - ΟΡΟΠΕΔΙΟΥ ΛΑΣΙΘΙΟΥ</v>
      </c>
      <c r="N225" s="197">
        <f t="shared" si="26"/>
        <v>14360</v>
      </c>
      <c r="O225" s="197" t="str">
        <f t="shared" si="27"/>
        <v>Οροπεδίου Λασιθίου</v>
      </c>
    </row>
    <row r="226" spans="1:15" x14ac:dyDescent="0.25">
      <c r="A226" s="199">
        <v>225</v>
      </c>
      <c r="B226" t="s">
        <v>411</v>
      </c>
      <c r="C226" t="s">
        <v>79</v>
      </c>
      <c r="D226" t="s">
        <v>259</v>
      </c>
      <c r="E226" t="str">
        <f t="shared" si="21"/>
        <v xml:space="preserve">ΚΡΗΤΗΣ - ΓΟΡΤΥΝΑΣ, </v>
      </c>
      <c r="F226" s="225" t="s">
        <v>799</v>
      </c>
      <c r="G226" s="225">
        <v>14038</v>
      </c>
      <c r="H226" t="str">
        <f>IFERROR(INDEX(DimosNaiOxi,MATCH(ΤΚ!E226,DimosNai,0)),"")</f>
        <v/>
      </c>
      <c r="I226" t="str">
        <f>LOOKUP(B226,ΠΕΡΙΦΕΡΕΙΑ!$A$2:$A$14,ΠΕΡΙΦΕΡΕΙΑ!$B$2:$B$14)</f>
        <v>Ολική</v>
      </c>
      <c r="J226">
        <f t="shared" si="25"/>
        <v>225</v>
      </c>
      <c r="K226" s="199">
        <f t="shared" si="22"/>
        <v>234</v>
      </c>
      <c r="L226" t="str">
        <f t="shared" si="23"/>
        <v>ΚΡΗΤΗΣ</v>
      </c>
      <c r="M226" t="str">
        <f t="shared" si="24"/>
        <v>ΚΡΗΤΗΣ - ΠΛΑΤΑΝΙΑ</v>
      </c>
      <c r="N226" s="197">
        <f t="shared" si="26"/>
        <v>14416</v>
      </c>
      <c r="O226" s="197" t="str">
        <f t="shared" si="27"/>
        <v>Πλατανιά</v>
      </c>
    </row>
    <row r="227" spans="1:15" x14ac:dyDescent="0.25">
      <c r="A227" s="199">
        <v>226</v>
      </c>
      <c r="B227" t="s">
        <v>411</v>
      </c>
      <c r="C227" t="s">
        <v>79</v>
      </c>
      <c r="D227" t="s">
        <v>79</v>
      </c>
      <c r="E227" t="str">
        <f t="shared" si="21"/>
        <v xml:space="preserve">ΚΡΗΤΗΣ - ΗΡΑΚΛΕΙΟΥ, </v>
      </c>
      <c r="F227" s="225" t="s">
        <v>800</v>
      </c>
      <c r="G227" s="225">
        <v>14126</v>
      </c>
      <c r="H227" t="str">
        <f>IFERROR(INDEX(DimosNaiOxi,MATCH(ΤΚ!E227,DimosNai,0)),"")</f>
        <v/>
      </c>
      <c r="I227" t="str">
        <f>LOOKUP(B227,ΠΕΡΙΦΕΡΕΙΑ!$A$2:$A$14,ΠΕΡΙΦΕΡΕΙΑ!$B$2:$B$14)</f>
        <v>Ολική</v>
      </c>
      <c r="J227">
        <f t="shared" si="25"/>
        <v>226</v>
      </c>
      <c r="K227" s="199">
        <f t="shared" si="22"/>
        <v>235</v>
      </c>
      <c r="L227" t="str">
        <f t="shared" si="23"/>
        <v>ΚΡΗΤΗΣ</v>
      </c>
      <c r="M227" t="str">
        <f t="shared" si="24"/>
        <v>ΚΡΗΤΗΣ - ΡΕΘΥΜΝΗΣ</v>
      </c>
      <c r="N227" s="197">
        <f t="shared" si="26"/>
        <v>14436</v>
      </c>
      <c r="O227" s="197" t="str">
        <f t="shared" si="27"/>
        <v>Ρεθύμνης</v>
      </c>
    </row>
    <row r="228" spans="1:15" x14ac:dyDescent="0.25">
      <c r="A228" s="199">
        <v>227</v>
      </c>
      <c r="B228" t="s">
        <v>411</v>
      </c>
      <c r="C228" t="s">
        <v>388</v>
      </c>
      <c r="D228" t="s">
        <v>265</v>
      </c>
      <c r="E228" t="str">
        <f t="shared" si="21"/>
        <v xml:space="preserve">ΚΡΗΤΗΣ - ΙΕΡΑΠΕΤΡΑΣ, </v>
      </c>
      <c r="F228" s="225" t="s">
        <v>801</v>
      </c>
      <c r="G228" s="225">
        <v>14144</v>
      </c>
      <c r="H228" t="str">
        <f>IFERROR(INDEX(DimosNaiOxi,MATCH(ΤΚ!E228,DimosNai,0)),"")</f>
        <v/>
      </c>
      <c r="I228" t="str">
        <f>LOOKUP(B228,ΠΕΡΙΦΕΡΕΙΑ!$A$2:$A$14,ΠΕΡΙΦΕΡΕΙΑ!$B$2:$B$14)</f>
        <v>Ολική</v>
      </c>
      <c r="J228">
        <f t="shared" si="25"/>
        <v>227</v>
      </c>
      <c r="K228" s="199">
        <f t="shared" si="22"/>
        <v>236</v>
      </c>
      <c r="L228" t="str">
        <f t="shared" si="23"/>
        <v>ΚΡΗΤΗΣ</v>
      </c>
      <c r="M228" t="str">
        <f t="shared" si="24"/>
        <v>ΚΡΗΤΗΣ - ΣΗΤΕΙΑΣ</v>
      </c>
      <c r="N228" s="197">
        <f t="shared" si="26"/>
        <v>14458</v>
      </c>
      <c r="O228" s="197" t="str">
        <f t="shared" si="27"/>
        <v>Σητείας</v>
      </c>
    </row>
    <row r="229" spans="1:15" x14ac:dyDescent="0.25">
      <c r="A229" s="199">
        <v>228</v>
      </c>
      <c r="B229" t="s">
        <v>411</v>
      </c>
      <c r="C229" t="s">
        <v>279</v>
      </c>
      <c r="D229" t="s">
        <v>275</v>
      </c>
      <c r="E229" t="str">
        <f t="shared" si="21"/>
        <v xml:space="preserve">ΚΡΗΤΗΣ - ΚΑΝΤΑΝΟΥ – ΣΕΛΙΝΟΥ, </v>
      </c>
      <c r="F229" s="225" t="s">
        <v>802</v>
      </c>
      <c r="G229" s="225">
        <v>14190</v>
      </c>
      <c r="H229" t="str">
        <f>IFERROR(INDEX(DimosNaiOxi,MATCH(ΤΚ!E229,DimosNai,0)),"")</f>
        <v/>
      </c>
      <c r="I229" t="str">
        <f>LOOKUP(B229,ΠΕΡΙΦΕΡΕΙΑ!$A$2:$A$14,ΠΕΡΙΦΕΡΕΙΑ!$B$2:$B$14)</f>
        <v>Ολική</v>
      </c>
      <c r="J229">
        <f t="shared" si="25"/>
        <v>228</v>
      </c>
      <c r="K229" s="199">
        <f t="shared" si="22"/>
        <v>237</v>
      </c>
      <c r="L229" t="str">
        <f t="shared" si="23"/>
        <v>ΚΡΗΤΗΣ</v>
      </c>
      <c r="M229" t="str">
        <f t="shared" si="24"/>
        <v>ΚΡΗΤΗΣ - ΣΦΑΚΙΩΝ</v>
      </c>
      <c r="N229" s="197">
        <f t="shared" si="26"/>
        <v>14490</v>
      </c>
      <c r="O229" s="197" t="str">
        <f t="shared" si="27"/>
        <v>Σφακίων</v>
      </c>
    </row>
    <row r="230" spans="1:15" x14ac:dyDescent="0.25">
      <c r="A230" s="199">
        <v>229</v>
      </c>
      <c r="B230" t="s">
        <v>411</v>
      </c>
      <c r="C230" t="s">
        <v>279</v>
      </c>
      <c r="D230" t="s">
        <v>276</v>
      </c>
      <c r="E230" t="str">
        <f t="shared" si="21"/>
        <v xml:space="preserve">ΚΡΗΤΗΣ - ΚΙΣΣΑΜΟΥ, </v>
      </c>
      <c r="F230" s="225" t="s">
        <v>803</v>
      </c>
      <c r="G230" s="225">
        <v>14220</v>
      </c>
      <c r="H230" t="str">
        <f>IFERROR(INDEX(DimosNaiOxi,MATCH(ΤΚ!E230,DimosNai,0)),"")</f>
        <v/>
      </c>
      <c r="I230" t="str">
        <f>LOOKUP(B230,ΠΕΡΙΦΕΡΕΙΑ!$A$2:$A$14,ΠΕΡΙΦΕΡΕΙΑ!$B$2:$B$14)</f>
        <v>Ολική</v>
      </c>
      <c r="J230">
        <f t="shared" si="25"/>
        <v>229</v>
      </c>
      <c r="K230" s="199">
        <f t="shared" si="22"/>
        <v>238</v>
      </c>
      <c r="L230" t="str">
        <f t="shared" si="23"/>
        <v>ΚΡΗΤΗΣ</v>
      </c>
      <c r="M230" t="str">
        <f t="shared" si="24"/>
        <v>ΚΡΗΤΗΣ - ΦΑΙΣΤΟΥ</v>
      </c>
      <c r="N230" s="197">
        <f t="shared" si="26"/>
        <v>14512</v>
      </c>
      <c r="O230" s="197" t="str">
        <f t="shared" si="27"/>
        <v>Φαιστού</v>
      </c>
    </row>
    <row r="231" spans="1:15" x14ac:dyDescent="0.25">
      <c r="A231" s="199">
        <v>230</v>
      </c>
      <c r="B231" t="s">
        <v>411</v>
      </c>
      <c r="C231" t="s">
        <v>79</v>
      </c>
      <c r="D231" t="s">
        <v>260</v>
      </c>
      <c r="E231" t="str">
        <f t="shared" si="21"/>
        <v xml:space="preserve">ΚΡΗΤΗΣ - ΜΑΛΕΒΙΖΙΟΥ, </v>
      </c>
      <c r="F231" s="225" t="s">
        <v>804</v>
      </c>
      <c r="G231" s="225">
        <v>14276</v>
      </c>
      <c r="H231" t="str">
        <f>IFERROR(INDEX(DimosNaiOxi,MATCH(ΤΚ!E231,DimosNai,0)),"")</f>
        <v/>
      </c>
      <c r="I231" t="str">
        <f>LOOKUP(B231,ΠΕΡΙΦΕΡΕΙΑ!$A$2:$A$14,ΠΕΡΙΦΕΡΕΙΑ!$B$2:$B$14)</f>
        <v>Ολική</v>
      </c>
      <c r="J231">
        <f t="shared" si="25"/>
        <v>230</v>
      </c>
      <c r="K231" s="199">
        <f t="shared" si="22"/>
        <v>239</v>
      </c>
      <c r="L231" t="str">
        <f t="shared" si="23"/>
        <v>ΚΡΗΤΗΣ</v>
      </c>
      <c r="M231" t="str">
        <f t="shared" si="24"/>
        <v>ΚΡΗΤΗΣ - ΧΑΝΙΩΝ</v>
      </c>
      <c r="N231" s="197">
        <f t="shared" si="26"/>
        <v>14542</v>
      </c>
      <c r="O231" s="197" t="str">
        <f t="shared" si="27"/>
        <v>Χανίων</v>
      </c>
    </row>
    <row r="232" spans="1:15" x14ac:dyDescent="0.25">
      <c r="A232" s="199">
        <v>231</v>
      </c>
      <c r="B232" t="s">
        <v>411</v>
      </c>
      <c r="C232" t="s">
        <v>79</v>
      </c>
      <c r="D232" t="s">
        <v>261</v>
      </c>
      <c r="E232" t="str">
        <f t="shared" si="21"/>
        <v xml:space="preserve">ΚΡΗΤΗΣ - ΜΙΝΩΑ ΠΕΔΙΑΔΑΣ, </v>
      </c>
      <c r="F232" s="225" t="s">
        <v>805</v>
      </c>
      <c r="G232" s="225">
        <v>14300</v>
      </c>
      <c r="H232" t="str">
        <f>IFERROR(INDEX(DimosNaiOxi,MATCH(ΤΚ!E232,DimosNai,0)),"")</f>
        <v/>
      </c>
      <c r="I232" t="str">
        <f>LOOKUP(B232,ΠΕΡΙΦΕΡΕΙΑ!$A$2:$A$14,ΠΕΡΙΦΕΡΕΙΑ!$B$2:$B$14)</f>
        <v>Ολική</v>
      </c>
      <c r="J232">
        <f t="shared" si="25"/>
        <v>231</v>
      </c>
      <c r="K232" s="199">
        <f t="shared" si="22"/>
        <v>240</v>
      </c>
      <c r="L232" t="str">
        <f t="shared" si="23"/>
        <v>ΚΡΗΤΗΣ</v>
      </c>
      <c r="M232" t="str">
        <f t="shared" si="24"/>
        <v>ΚΡΗΤΗΣ - ΧΕΡΣΟΝΗΣΟΥ</v>
      </c>
      <c r="N232" s="197">
        <f t="shared" si="26"/>
        <v>14546</v>
      </c>
      <c r="O232" s="197" t="str">
        <f t="shared" si="27"/>
        <v>Χερσονήσου</v>
      </c>
    </row>
    <row r="233" spans="1:15" x14ac:dyDescent="0.25">
      <c r="A233" s="199">
        <v>232</v>
      </c>
      <c r="B233" t="s">
        <v>411</v>
      </c>
      <c r="C233" t="s">
        <v>389</v>
      </c>
      <c r="D233" t="s">
        <v>271</v>
      </c>
      <c r="E233" t="str">
        <f t="shared" si="21"/>
        <v xml:space="preserve">ΚΡΗΤΗΣ - ΜΥΛΟΠΟΤΑΜΟΥ, </v>
      </c>
      <c r="F233" s="225" t="s">
        <v>806</v>
      </c>
      <c r="G233" s="225">
        <v>14310</v>
      </c>
      <c r="H233" t="str">
        <f>IFERROR(INDEX(DimosNaiOxi,MATCH(ΤΚ!E233,DimosNai,0)),"")</f>
        <v/>
      </c>
      <c r="I233" t="str">
        <f>LOOKUP(B233,ΠΕΡΙΦΕΡΕΙΑ!$A$2:$A$14,ΠΕΡΙΦΕΡΕΙΑ!$B$2:$B$14)</f>
        <v>Ολική</v>
      </c>
      <c r="J233">
        <f t="shared" si="25"/>
        <v>232</v>
      </c>
      <c r="K233" s="199">
        <f t="shared" si="22"/>
        <v>244</v>
      </c>
      <c r="L233" t="str">
        <f t="shared" si="23"/>
        <v>ΝΟΤΙΟΥ ΑΙΓΑΙΟΥ</v>
      </c>
      <c r="M233" t="str">
        <f t="shared" si="24"/>
        <v>ΝΟΤΙΟΥ ΑΙΓΑΙΟΥ - ΑΝΔΡΟΥ</v>
      </c>
      <c r="N233" s="197">
        <f t="shared" si="26"/>
        <v>13908</v>
      </c>
      <c r="O233" s="197" t="str">
        <f t="shared" si="27"/>
        <v>Άνδρου</v>
      </c>
    </row>
    <row r="234" spans="1:15" x14ac:dyDescent="0.25">
      <c r="A234" s="199">
        <v>233</v>
      </c>
      <c r="B234" t="s">
        <v>411</v>
      </c>
      <c r="C234" t="s">
        <v>388</v>
      </c>
      <c r="D234" t="s">
        <v>266</v>
      </c>
      <c r="E234" t="str">
        <f t="shared" si="21"/>
        <v xml:space="preserve">ΚΡΗΤΗΣ - ΟΡΟΠΕΔΙΟΥ ΛΑΣΙΘΙΟΥ, </v>
      </c>
      <c r="F234" s="225" t="s">
        <v>807</v>
      </c>
      <c r="G234" s="225">
        <v>14360</v>
      </c>
      <c r="H234" t="str">
        <f>IFERROR(INDEX(DimosNaiOxi,MATCH(ΤΚ!E234,DimosNai,0)),"")</f>
        <v/>
      </c>
      <c r="I234" t="str">
        <f>LOOKUP(B234,ΠΕΡΙΦΕΡΕΙΑ!$A$2:$A$14,ΠΕΡΙΦΕΡΕΙΑ!$B$2:$B$14)</f>
        <v>Ολική</v>
      </c>
      <c r="J234">
        <f t="shared" si="25"/>
        <v>233</v>
      </c>
      <c r="K234" s="199">
        <f t="shared" si="22"/>
        <v>247</v>
      </c>
      <c r="L234" t="str">
        <f t="shared" si="23"/>
        <v>ΝΟΤΙΟΥ ΑΙΓΑΙΟΥ</v>
      </c>
      <c r="M234" t="str">
        <f t="shared" si="24"/>
        <v>ΝΟΤΙΟΥ ΑΙΓΑΙΟΥ - ΘΗΡΑΣ</v>
      </c>
      <c r="N234" s="197">
        <f t="shared" si="26"/>
        <v>14134</v>
      </c>
      <c r="O234" s="197" t="str">
        <f t="shared" si="27"/>
        <v>Θήρας</v>
      </c>
    </row>
    <row r="235" spans="1:15" x14ac:dyDescent="0.25">
      <c r="A235" s="199">
        <v>234</v>
      </c>
      <c r="B235" t="s">
        <v>411</v>
      </c>
      <c r="C235" t="s">
        <v>279</v>
      </c>
      <c r="D235" t="s">
        <v>277</v>
      </c>
      <c r="E235" t="str">
        <f t="shared" si="21"/>
        <v xml:space="preserve">ΚΡΗΤΗΣ - ΠΛΑΤΑΝΙΑ, </v>
      </c>
      <c r="F235" s="225" t="s">
        <v>808</v>
      </c>
      <c r="G235" s="225">
        <v>14416</v>
      </c>
      <c r="H235" t="str">
        <f>IFERROR(INDEX(DimosNaiOxi,MATCH(ΤΚ!E235,DimosNai,0)),"")</f>
        <v/>
      </c>
      <c r="I235" t="str">
        <f>LOOKUP(B235,ΠΕΡΙΦΕΡΕΙΑ!$A$2:$A$14,ΠΕΡΙΦΕΡΕΙΑ!$B$2:$B$14)</f>
        <v>Ολική</v>
      </c>
      <c r="J235">
        <f t="shared" si="25"/>
        <v>234</v>
      </c>
      <c r="K235" s="199">
        <f t="shared" si="22"/>
        <v>255</v>
      </c>
      <c r="L235" t="str">
        <f t="shared" si="23"/>
        <v>ΝΟΤΙΟΥ ΑΙΓΑΙΟΥ</v>
      </c>
      <c r="M235" t="str">
        <f t="shared" si="24"/>
        <v>ΝΟΤΙΟΥ ΑΙΓΑΙΟΥ - ΚΩ</v>
      </c>
      <c r="N235" s="197">
        <f t="shared" si="26"/>
        <v>14236</v>
      </c>
      <c r="O235" s="197" t="str">
        <f t="shared" si="27"/>
        <v>Κω</v>
      </c>
    </row>
    <row r="236" spans="1:15" x14ac:dyDescent="0.25">
      <c r="A236" s="199">
        <v>235</v>
      </c>
      <c r="B236" t="s">
        <v>411</v>
      </c>
      <c r="C236" t="s">
        <v>389</v>
      </c>
      <c r="D236" t="s">
        <v>272</v>
      </c>
      <c r="E236" t="str">
        <f t="shared" si="21"/>
        <v xml:space="preserve">ΚΡΗΤΗΣ - ΡΕΘΥΜΝΗΣ, </v>
      </c>
      <c r="F236" s="225" t="s">
        <v>809</v>
      </c>
      <c r="G236" s="225">
        <v>14436</v>
      </c>
      <c r="H236" t="str">
        <f>IFERROR(INDEX(DimosNaiOxi,MATCH(ΤΚ!E236,DimosNai,0)),"")</f>
        <v/>
      </c>
      <c r="I236" t="str">
        <f>LOOKUP(B236,ΠΕΡΙΦΕΡΕΙΑ!$A$2:$A$14,ΠΕΡΙΦΕΡΕΙΑ!$B$2:$B$14)</f>
        <v>Ολική</v>
      </c>
      <c r="J236">
        <f t="shared" si="25"/>
        <v>235</v>
      </c>
      <c r="K236" s="199">
        <f t="shared" si="22"/>
        <v>259</v>
      </c>
      <c r="L236" t="str">
        <f t="shared" si="23"/>
        <v>ΝΟΤΙΟΥ ΑΙΓΑΙΟΥ</v>
      </c>
      <c r="M236" t="str">
        <f t="shared" si="24"/>
        <v>ΝΟΤΙΟΥ ΑΙΓΑΙΟΥ - ΜΗΛΟΥ</v>
      </c>
      <c r="N236" s="197">
        <f t="shared" si="26"/>
        <v>14268</v>
      </c>
      <c r="O236" s="197" t="str">
        <f t="shared" si="27"/>
        <v>Μήλου</v>
      </c>
    </row>
    <row r="237" spans="1:15" x14ac:dyDescent="0.25">
      <c r="A237" s="199">
        <v>236</v>
      </c>
      <c r="B237" t="s">
        <v>411</v>
      </c>
      <c r="C237" t="s">
        <v>388</v>
      </c>
      <c r="D237" t="s">
        <v>267</v>
      </c>
      <c r="E237" t="str">
        <f t="shared" si="21"/>
        <v xml:space="preserve">ΚΡΗΤΗΣ - ΣΗΤΕΙΑΣ, </v>
      </c>
      <c r="F237" s="225" t="s">
        <v>810</v>
      </c>
      <c r="G237" s="225">
        <v>14458</v>
      </c>
      <c r="H237" t="str">
        <f>IFERROR(INDEX(DimosNaiOxi,MATCH(ΤΚ!E237,DimosNai,0)),"")</f>
        <v/>
      </c>
      <c r="I237" t="str">
        <f>LOOKUP(B237,ΠΕΡΙΦΕΡΕΙΑ!$A$2:$A$14,ΠΕΡΙΦΕΡΕΙΑ!$B$2:$B$14)</f>
        <v>Ολική</v>
      </c>
      <c r="J237">
        <f t="shared" si="25"/>
        <v>236</v>
      </c>
      <c r="K237" s="199">
        <f t="shared" si="22"/>
        <v>260</v>
      </c>
      <c r="L237" t="str">
        <f t="shared" si="23"/>
        <v>ΝΟΤΙΟΥ ΑΙΓΑΙΟΥ</v>
      </c>
      <c r="M237" t="str">
        <f t="shared" si="24"/>
        <v>ΝΟΤΙΟΥ ΑΙΓΑΙΟΥ - ΜΥΚΟΝΟΥ</v>
      </c>
      <c r="N237" s="197">
        <f t="shared" si="26"/>
        <v>14308</v>
      </c>
      <c r="O237" s="197" t="str">
        <f t="shared" si="27"/>
        <v>Μυκόνου</v>
      </c>
    </row>
    <row r="238" spans="1:15" x14ac:dyDescent="0.25">
      <c r="A238" s="199">
        <v>237</v>
      </c>
      <c r="B238" t="s">
        <v>411</v>
      </c>
      <c r="C238" t="s">
        <v>279</v>
      </c>
      <c r="D238" t="s">
        <v>278</v>
      </c>
      <c r="E238" t="str">
        <f t="shared" si="21"/>
        <v xml:space="preserve">ΚΡΗΤΗΣ - ΣΦΑΚΙΩΝ, </v>
      </c>
      <c r="F238" s="225" t="s">
        <v>811</v>
      </c>
      <c r="G238" s="225">
        <v>14490</v>
      </c>
      <c r="H238" t="str">
        <f>IFERROR(INDEX(DimosNaiOxi,MATCH(ΤΚ!E238,DimosNai,0)),"")</f>
        <v/>
      </c>
      <c r="I238" t="str">
        <f>LOOKUP(B238,ΠΕΡΙΦΕΡΕΙΑ!$A$2:$A$14,ΠΕΡΙΦΕΡΕΙΑ!$B$2:$B$14)</f>
        <v>Ολική</v>
      </c>
      <c r="J238">
        <f t="shared" si="25"/>
        <v>237</v>
      </c>
      <c r="K238" s="199">
        <f t="shared" si="22"/>
        <v>261</v>
      </c>
      <c r="L238" t="str">
        <f t="shared" si="23"/>
        <v>ΝΟΤΙΟΥ ΑΙΓΑΙΟΥ</v>
      </c>
      <c r="M238" t="str">
        <f t="shared" si="24"/>
        <v>ΝΟΤΙΟΥ ΑΙΓΑΙΟΥ - ΝΑΞΟΥ ΚΑΙ ΜΙΚΡΩΝ ΚΥΚΛΑΔΩΝ</v>
      </c>
      <c r="N238" s="197">
        <f t="shared" si="26"/>
        <v>14312</v>
      </c>
      <c r="O238" s="197" t="str">
        <f t="shared" si="27"/>
        <v>Νάξου &amp; Μικρών Κυκλάδων</v>
      </c>
    </row>
    <row r="239" spans="1:15" x14ac:dyDescent="0.25">
      <c r="A239" s="199">
        <v>238</v>
      </c>
      <c r="B239" t="s">
        <v>411</v>
      </c>
      <c r="C239" t="s">
        <v>79</v>
      </c>
      <c r="D239" t="s">
        <v>262</v>
      </c>
      <c r="E239" t="str">
        <f t="shared" si="21"/>
        <v xml:space="preserve">ΚΡΗΤΗΣ - ΦΑΙΣΤΟΥ, </v>
      </c>
      <c r="F239" s="225" t="s">
        <v>812</v>
      </c>
      <c r="G239" s="225">
        <v>14512</v>
      </c>
      <c r="H239" t="str">
        <f>IFERROR(INDEX(DimosNaiOxi,MATCH(ΤΚ!E239,DimosNai,0)),"")</f>
        <v/>
      </c>
      <c r="I239" t="str">
        <f>LOOKUP(B239,ΠΕΡΙΦΕΡΕΙΑ!$A$2:$A$14,ΠΕΡΙΦΕΡΕΙΑ!$B$2:$B$14)</f>
        <v>Ολική</v>
      </c>
      <c r="J239">
        <f t="shared" si="25"/>
        <v>238</v>
      </c>
      <c r="K239" s="199">
        <f t="shared" si="22"/>
        <v>263</v>
      </c>
      <c r="L239" t="str">
        <f t="shared" si="23"/>
        <v>ΝΟΤΙΟΥ ΑΙΓΑΙΟΥ</v>
      </c>
      <c r="M239" t="str">
        <f t="shared" si="24"/>
        <v>ΝΟΤΙΟΥ ΑΙΓΑΙΟΥ - ΠΑΡΟΥ</v>
      </c>
      <c r="N239" s="197">
        <f t="shared" si="26"/>
        <v>14366</v>
      </c>
      <c r="O239" s="197" t="str">
        <f t="shared" si="27"/>
        <v>Πάρου</v>
      </c>
    </row>
    <row r="240" spans="1:15" x14ac:dyDescent="0.25">
      <c r="A240" s="199">
        <v>239</v>
      </c>
      <c r="B240" t="s">
        <v>411</v>
      </c>
      <c r="C240" t="s">
        <v>279</v>
      </c>
      <c r="D240" t="s">
        <v>279</v>
      </c>
      <c r="E240" t="str">
        <f t="shared" si="21"/>
        <v xml:space="preserve">ΚΡΗΤΗΣ - ΧΑΝΙΩΝ, </v>
      </c>
      <c r="F240" s="225" t="s">
        <v>813</v>
      </c>
      <c r="G240" s="225">
        <v>14542</v>
      </c>
      <c r="H240" t="str">
        <f>IFERROR(INDEX(DimosNaiOxi,MATCH(ΤΚ!E240,DimosNai,0)),"")</f>
        <v/>
      </c>
      <c r="I240" t="str">
        <f>LOOKUP(B240,ΠΕΡΙΦΕΡΕΙΑ!$A$2:$A$14,ΠΕΡΙΦΕΡΕΙΑ!$B$2:$B$14)</f>
        <v>Ολική</v>
      </c>
      <c r="J240">
        <f t="shared" si="25"/>
        <v>239</v>
      </c>
      <c r="K240" s="199">
        <f t="shared" si="22"/>
        <v>265</v>
      </c>
      <c r="L240" t="str">
        <f t="shared" si="23"/>
        <v>ΝΟΤΙΟΥ ΑΙΓΑΙΟΥ</v>
      </c>
      <c r="M240" t="str">
        <f t="shared" si="24"/>
        <v>ΝΟΤΙΟΥ ΑΙΓΑΙΟΥ - ΡΟΔΟΥ</v>
      </c>
      <c r="N240" s="197">
        <f t="shared" si="26"/>
        <v>14432</v>
      </c>
      <c r="O240" s="197" t="str">
        <f t="shared" si="27"/>
        <v>Ρόδου</v>
      </c>
    </row>
    <row r="241" spans="1:15" x14ac:dyDescent="0.25">
      <c r="A241" s="199">
        <v>240</v>
      </c>
      <c r="B241" t="s">
        <v>411</v>
      </c>
      <c r="C241" t="s">
        <v>79</v>
      </c>
      <c r="D241" t="s">
        <v>263</v>
      </c>
      <c r="E241" t="str">
        <f t="shared" si="21"/>
        <v xml:space="preserve">ΚΡΗΤΗΣ - ΧΕΡΣΟΝΗΣΟΥ, </v>
      </c>
      <c r="F241" s="225" t="s">
        <v>814</v>
      </c>
      <c r="G241" s="225">
        <v>14546</v>
      </c>
      <c r="H241" t="str">
        <f>IFERROR(INDEX(DimosNaiOxi,MATCH(ΤΚ!E241,DimosNai,0)),"")</f>
        <v/>
      </c>
      <c r="I241" t="str">
        <f>LOOKUP(B241,ΠΕΡΙΦΕΡΕΙΑ!$A$2:$A$14,ΠΕΡΙΦΕΡΕΙΑ!$B$2:$B$14)</f>
        <v>Ολική</v>
      </c>
      <c r="J241">
        <f t="shared" si="25"/>
        <v>240</v>
      </c>
      <c r="K241" s="199">
        <f t="shared" si="22"/>
        <v>270</v>
      </c>
      <c r="L241" t="str">
        <f t="shared" si="23"/>
        <v>ΝΟΤΙΟΥ ΑΙΓΑΙΟΥ</v>
      </c>
      <c r="M241" t="str">
        <f t="shared" si="24"/>
        <v>ΝΟΤΙΟΥ ΑΙΓΑΙΟΥ - ΣΥΡΟΥ – ΕΡΜΟΥΠΟΛΗΣ</v>
      </c>
      <c r="N241" s="197">
        <f t="shared" si="26"/>
        <v>14444</v>
      </c>
      <c r="O241" s="197" t="str">
        <f t="shared" si="27"/>
        <v>Σύρου - Ερμούπολης</v>
      </c>
    </row>
    <row r="242" spans="1:15" x14ac:dyDescent="0.25">
      <c r="A242" s="199">
        <v>241</v>
      </c>
      <c r="B242" t="s">
        <v>412</v>
      </c>
      <c r="C242" t="s">
        <v>390</v>
      </c>
      <c r="D242" t="s">
        <v>286</v>
      </c>
      <c r="E242" t="str">
        <f t="shared" si="21"/>
        <v xml:space="preserve">ΝΟΤΙΟΥ ΑΙΓΑΙΟΥ - ΑΓΑΘΟΝΗΣΙΟΥ, </v>
      </c>
      <c r="F242" s="225" t="s">
        <v>815</v>
      </c>
      <c r="G242" s="225">
        <v>13936</v>
      </c>
      <c r="H242" t="str">
        <f>IFERROR(INDEX(DimosNaiOxi,MATCH(ΤΚ!E242,DimosNai,0)),"")</f>
        <v/>
      </c>
      <c r="I242" t="str">
        <f>LOOKUP(B242,ΠΕΡΙΦΕΡΕΙΑ!$A$2:$A$14,ΠΕΡΙΦΕΡΕΙΑ!$B$2:$B$14)</f>
        <v>Μερική</v>
      </c>
      <c r="J242" t="str">
        <f t="shared" si="25"/>
        <v/>
      </c>
      <c r="K242" s="199">
        <f t="shared" si="22"/>
        <v>272</v>
      </c>
      <c r="L242" t="str">
        <f t="shared" si="23"/>
        <v>ΝΟΤΙΟΥ ΑΙΓΑΙΟΥ</v>
      </c>
      <c r="M242" t="str">
        <f t="shared" si="24"/>
        <v>ΝΟΤΙΟΥ ΑΙΓΑΙΟΥ - ΤΗΝΟΥ</v>
      </c>
      <c r="N242" s="197">
        <f t="shared" si="26"/>
        <v>14494</v>
      </c>
      <c r="O242" s="197" t="str">
        <f t="shared" si="27"/>
        <v>Τήνου</v>
      </c>
    </row>
    <row r="243" spans="1:15" x14ac:dyDescent="0.25">
      <c r="A243" s="199">
        <v>242</v>
      </c>
      <c r="B243" t="s">
        <v>412</v>
      </c>
      <c r="C243" t="s">
        <v>392</v>
      </c>
      <c r="D243" t="s">
        <v>303</v>
      </c>
      <c r="E243" t="str">
        <f t="shared" si="21"/>
        <v xml:space="preserve">ΝΟΤΙΟΥ ΑΙΓΑΙΟΥ - ΑΜΟΡΓΟΥ, </v>
      </c>
      <c r="F243" s="225" t="s">
        <v>816</v>
      </c>
      <c r="G243" s="225">
        <v>13970</v>
      </c>
      <c r="H243" t="str">
        <f>IFERROR(INDEX(DimosNaiOxi,MATCH(ΤΚ!E243,DimosNai,0)),"")</f>
        <v/>
      </c>
      <c r="I243" t="str">
        <f>LOOKUP(B243,ΠΕΡΙΦΕΡΕΙΑ!$A$2:$A$14,ΠΕΡΙΦΕΡΕΙΑ!$B$2:$B$14)</f>
        <v>Μερική</v>
      </c>
      <c r="J243" t="str">
        <f t="shared" si="25"/>
        <v/>
      </c>
      <c r="K243" s="199">
        <f t="shared" si="22"/>
        <v>275</v>
      </c>
      <c r="L243" t="str">
        <f t="shared" si="23"/>
        <v>ΠΕΛΟΠΟΝΝΗΣΟΥ</v>
      </c>
      <c r="M243" t="str">
        <f t="shared" si="24"/>
        <v>ΠΕΛΟΠΟΝΝΗΣΟΥ - ΑΝΑΤΟΛΙΚΗΣ ΜΑΝΗΣ</v>
      </c>
      <c r="N243" s="197">
        <f t="shared" si="26"/>
        <v>13984</v>
      </c>
      <c r="O243" s="197" t="str">
        <f t="shared" si="27"/>
        <v>Ανατολικής Μάνης</v>
      </c>
    </row>
    <row r="244" spans="1:15" x14ac:dyDescent="0.25">
      <c r="A244" s="199">
        <v>243</v>
      </c>
      <c r="B244" t="s">
        <v>412</v>
      </c>
      <c r="C244" t="s">
        <v>282</v>
      </c>
      <c r="D244" t="s">
        <v>281</v>
      </c>
      <c r="E244" t="str">
        <f t="shared" si="21"/>
        <v xml:space="preserve">ΝΟΤΙΟΥ ΑΙΓΑΙΟΥ - ΑΝΑΦΗΣ, </v>
      </c>
      <c r="F244" s="225" t="s">
        <v>817</v>
      </c>
      <c r="G244" s="225">
        <v>13982</v>
      </c>
      <c r="H244" t="str">
        <f>IFERROR(INDEX(DimosNaiOxi,MATCH(ΤΚ!E244,DimosNai,0)),"")</f>
        <v/>
      </c>
      <c r="I244" t="str">
        <f>LOOKUP(B244,ΠΕΡΙΦΕΡΕΙΑ!$A$2:$A$14,ΠΕΡΙΦΕΡΕΙΑ!$B$2:$B$14)</f>
        <v>Μερική</v>
      </c>
      <c r="J244" t="str">
        <f t="shared" si="25"/>
        <v/>
      </c>
      <c r="K244" s="199">
        <f t="shared" si="22"/>
        <v>276</v>
      </c>
      <c r="L244" t="str">
        <f t="shared" si="23"/>
        <v>ΠΕΛΟΠΟΝΝΗΣΟΥ</v>
      </c>
      <c r="M244" t="str">
        <f t="shared" si="24"/>
        <v>ΠΕΛΟΠΟΝΝΗΣΟΥ - ΑΡΓΟΥΣ – ΜΥΚΗΝΩΝ</v>
      </c>
      <c r="N244" s="197">
        <f t="shared" si="26"/>
        <v>13910</v>
      </c>
      <c r="O244" s="197" t="str">
        <f t="shared" si="27"/>
        <v>Άργους - Μυκηνών</v>
      </c>
    </row>
    <row r="245" spans="1:15" x14ac:dyDescent="0.25">
      <c r="A245" s="199">
        <v>244</v>
      </c>
      <c r="B245" t="s">
        <v>412</v>
      </c>
      <c r="C245" t="s">
        <v>280</v>
      </c>
      <c r="D245" t="s">
        <v>280</v>
      </c>
      <c r="E245" t="str">
        <f t="shared" si="21"/>
        <v xml:space="preserve">ΝΟΤΙΟΥ ΑΙΓΑΙΟΥ - ΑΝΔΡΟΥ, </v>
      </c>
      <c r="F245" s="225" t="s">
        <v>818</v>
      </c>
      <c r="G245" s="225">
        <v>13908</v>
      </c>
      <c r="H245" t="str">
        <f>IFERROR(INDEX(DimosNaiOxi,MATCH(ΤΚ!E245,DimosNai,0)),"")</f>
        <v>ΝΑΙ</v>
      </c>
      <c r="I245" t="str">
        <f>LOOKUP(B245,ΠΕΡΙΦΕΡΕΙΑ!$A$2:$A$14,ΠΕΡΙΦΕΡΕΙΑ!$B$2:$B$14)</f>
        <v>Μερική</v>
      </c>
      <c r="J245">
        <f t="shared" si="25"/>
        <v>244</v>
      </c>
      <c r="K245" s="199">
        <f t="shared" si="22"/>
        <v>277</v>
      </c>
      <c r="L245" t="str">
        <f t="shared" si="23"/>
        <v>ΠΕΛΟΠΟΝΝΗΣΟΥ</v>
      </c>
      <c r="M245" t="str">
        <f t="shared" si="24"/>
        <v>ΠΕΛΟΠΟΝΝΗΣΟΥ - ΒΕΛΟΥ – ΒΟΧΑΣ</v>
      </c>
      <c r="N245" s="197">
        <f t="shared" si="26"/>
        <v>14016</v>
      </c>
      <c r="O245" s="197" t="str">
        <f t="shared" si="27"/>
        <v>Βέλου - Βόχας</v>
      </c>
    </row>
    <row r="246" spans="1:15" x14ac:dyDescent="0.25">
      <c r="A246" s="199">
        <v>245</v>
      </c>
      <c r="B246" t="s">
        <v>412</v>
      </c>
      <c r="C246" t="s">
        <v>306</v>
      </c>
      <c r="D246" t="s">
        <v>305</v>
      </c>
      <c r="E246" t="str">
        <f t="shared" si="21"/>
        <v xml:space="preserve">ΝΟΤΙΟΥ ΑΙΓΑΙΟΥ - ΑΝΤΙΠΑΡΟΥ, </v>
      </c>
      <c r="F246" s="225" t="s">
        <v>819</v>
      </c>
      <c r="G246" s="225">
        <v>13990</v>
      </c>
      <c r="H246" t="str">
        <f>IFERROR(INDEX(DimosNaiOxi,MATCH(ΤΚ!E246,DimosNai,0)),"")</f>
        <v/>
      </c>
      <c r="I246" t="str">
        <f>LOOKUP(B246,ΠΕΡΙΦΕΡΕΙΑ!$A$2:$A$14,ΠΕΡΙΦΕΡΕΙΑ!$B$2:$B$14)</f>
        <v>Μερική</v>
      </c>
      <c r="J246" t="str">
        <f t="shared" si="25"/>
        <v/>
      </c>
      <c r="K246" s="199">
        <f t="shared" si="22"/>
        <v>278</v>
      </c>
      <c r="L246" t="str">
        <f t="shared" si="23"/>
        <v>ΠΕΛΟΠΟΝΝΗΣΟΥ</v>
      </c>
      <c r="M246" t="str">
        <f t="shared" si="24"/>
        <v>ΠΕΛΟΠΟΝΝΗΣΟΥ - ΒΟΡΕΙΑΣ ΚΥΝΟΥΡΙΑΣ</v>
      </c>
      <c r="N246" s="197">
        <f t="shared" si="26"/>
        <v>14024</v>
      </c>
      <c r="O246" s="197" t="str">
        <f t="shared" si="27"/>
        <v>Βόρειας Κυνουρίας</v>
      </c>
    </row>
    <row r="247" spans="1:15" x14ac:dyDescent="0.25">
      <c r="A247" s="199">
        <v>246</v>
      </c>
      <c r="B247" t="s">
        <v>412</v>
      </c>
      <c r="C247" t="s">
        <v>390</v>
      </c>
      <c r="D247" t="s">
        <v>287</v>
      </c>
      <c r="E247" t="str">
        <f t="shared" si="21"/>
        <v xml:space="preserve">ΝΟΤΙΟΥ ΑΙΓΑΙΟΥ - ΑΣΤΥΠΑΛΑΙΑΣ, </v>
      </c>
      <c r="F247" s="225" t="s">
        <v>820</v>
      </c>
      <c r="G247" s="225">
        <v>14010</v>
      </c>
      <c r="H247" t="str">
        <f>IFERROR(INDEX(DimosNaiOxi,MATCH(ΤΚ!E247,DimosNai,0)),"")</f>
        <v/>
      </c>
      <c r="I247" t="str">
        <f>LOOKUP(B247,ΠΕΡΙΦΕΡΕΙΑ!$A$2:$A$14,ΠΕΡΙΦΕΡΕΙΑ!$B$2:$B$14)</f>
        <v>Μερική</v>
      </c>
      <c r="J247" t="str">
        <f t="shared" si="25"/>
        <v/>
      </c>
      <c r="K247" s="199">
        <f t="shared" si="22"/>
        <v>279</v>
      </c>
      <c r="L247" t="str">
        <f t="shared" si="23"/>
        <v>ΠΕΛΟΠΟΝΝΗΣΟΥ</v>
      </c>
      <c r="M247" t="str">
        <f t="shared" si="24"/>
        <v>ΠΕΛΟΠΟΝΝΗΣΟΥ - ΓΟΡΤΥΝΙΑΣ</v>
      </c>
      <c r="N247" s="197">
        <f t="shared" si="26"/>
        <v>14048</v>
      </c>
      <c r="O247" s="197" t="str">
        <f t="shared" si="27"/>
        <v>Γορτυνίας</v>
      </c>
    </row>
    <row r="248" spans="1:15" x14ac:dyDescent="0.25">
      <c r="A248" s="199">
        <v>247</v>
      </c>
      <c r="B248" t="s">
        <v>412</v>
      </c>
      <c r="C248" t="s">
        <v>282</v>
      </c>
      <c r="D248" t="s">
        <v>282</v>
      </c>
      <c r="E248" t="str">
        <f t="shared" si="21"/>
        <v xml:space="preserve">ΝΟΤΙΟΥ ΑΙΓΑΙΟΥ - ΘΗΡΑΣ, </v>
      </c>
      <c r="F248" s="225" t="s">
        <v>821</v>
      </c>
      <c r="G248" s="225">
        <v>14134</v>
      </c>
      <c r="H248" t="str">
        <f>IFERROR(INDEX(DimosNaiOxi,MATCH(ΤΚ!E248,DimosNai,0)),"")</f>
        <v>ΝΑΙ</v>
      </c>
      <c r="I248" t="str">
        <f>LOOKUP(B248,ΠΕΡΙΦΕΡΕΙΑ!$A$2:$A$14,ΠΕΡΙΦΕΡΕΙΑ!$B$2:$B$14)</f>
        <v>Μερική</v>
      </c>
      <c r="J248">
        <f t="shared" si="25"/>
        <v>247</v>
      </c>
      <c r="K248" s="199">
        <f t="shared" si="22"/>
        <v>280</v>
      </c>
      <c r="L248" t="str">
        <f t="shared" si="23"/>
        <v>ΠΕΛΟΠΟΝΝΗΣΟΥ</v>
      </c>
      <c r="M248" t="str">
        <f t="shared" si="24"/>
        <v>ΠΕΛΟΠΟΝΝΗΣΟΥ - ΔΥΤΙΚΗΣ ΜΑΝΗΣ</v>
      </c>
      <c r="N248" s="197">
        <f t="shared" si="26"/>
        <v>14078</v>
      </c>
      <c r="O248" s="197" t="str">
        <f t="shared" si="27"/>
        <v>Δυτικής Μάνης</v>
      </c>
    </row>
    <row r="249" spans="1:15" x14ac:dyDescent="0.25">
      <c r="A249" s="199">
        <v>248</v>
      </c>
      <c r="B249" t="s">
        <v>412</v>
      </c>
      <c r="C249" t="s">
        <v>282</v>
      </c>
      <c r="D249" t="s">
        <v>283</v>
      </c>
      <c r="E249" t="str">
        <f t="shared" si="21"/>
        <v xml:space="preserve">ΝΟΤΙΟΥ ΑΙΓΑΙΟΥ - ΙΗΤΩΝ, </v>
      </c>
      <c r="F249" s="225" t="s">
        <v>822</v>
      </c>
      <c r="G249" s="225">
        <v>14148</v>
      </c>
      <c r="H249" t="str">
        <f>IFERROR(INDEX(DimosNaiOxi,MATCH(ΤΚ!E249,DimosNai,0)),"")</f>
        <v/>
      </c>
      <c r="I249" t="str">
        <f>LOOKUP(B249,ΠΕΡΙΦΕΡΕΙΑ!$A$2:$A$14,ΠΕΡΙΦΕΡΕΙΑ!$B$2:$B$14)</f>
        <v>Μερική</v>
      </c>
      <c r="J249" t="str">
        <f t="shared" si="25"/>
        <v/>
      </c>
      <c r="K249" s="199">
        <f t="shared" si="22"/>
        <v>281</v>
      </c>
      <c r="L249" t="str">
        <f t="shared" si="23"/>
        <v>ΠΕΛΟΠΟΝΝΗΣΟΥ</v>
      </c>
      <c r="M249" t="str">
        <f t="shared" si="24"/>
        <v>ΠΕΛΟΠΟΝΝΗΣΟΥ - ΕΛΑΦΟΝΗΣΟΥ</v>
      </c>
      <c r="N249" s="197">
        <f t="shared" si="26"/>
        <v>14086</v>
      </c>
      <c r="O249" s="197" t="str">
        <f t="shared" si="27"/>
        <v>Ελαφονήσου</v>
      </c>
    </row>
    <row r="250" spans="1:15" x14ac:dyDescent="0.25">
      <c r="A250" s="199">
        <v>249</v>
      </c>
      <c r="B250" t="s">
        <v>412</v>
      </c>
      <c r="C250" t="s">
        <v>390</v>
      </c>
      <c r="D250" t="s">
        <v>288</v>
      </c>
      <c r="E250" t="str">
        <f t="shared" si="21"/>
        <v xml:space="preserve">ΝΟΤΙΟΥ ΑΙΓΑΙΟΥ - ΚΑΛΥΜΝΙΩΝ, </v>
      </c>
      <c r="F250" s="225" t="s">
        <v>823</v>
      </c>
      <c r="G250" s="225">
        <v>14188</v>
      </c>
      <c r="H250" t="str">
        <f>IFERROR(INDEX(DimosNaiOxi,MATCH(ΤΚ!E250,DimosNai,0)),"")</f>
        <v/>
      </c>
      <c r="I250" t="str">
        <f>LOOKUP(B250,ΠΕΡΙΦΕΡΕΙΑ!$A$2:$A$14,ΠΕΡΙΦΕΡΕΙΑ!$B$2:$B$14)</f>
        <v>Μερική</v>
      </c>
      <c r="J250" t="str">
        <f t="shared" si="25"/>
        <v/>
      </c>
      <c r="K250" s="199">
        <f t="shared" si="22"/>
        <v>282</v>
      </c>
      <c r="L250" t="str">
        <f t="shared" si="23"/>
        <v>ΠΕΛΟΠΟΝΝΗΣΟΥ</v>
      </c>
      <c r="M250" t="str">
        <f t="shared" si="24"/>
        <v>ΠΕΛΟΠΟΝΝΗΣΟΥ - ΕΠΙΔΑΥΡΟΥ</v>
      </c>
      <c r="N250" s="197">
        <f t="shared" si="26"/>
        <v>14096</v>
      </c>
      <c r="O250" s="197" t="str">
        <f t="shared" si="27"/>
        <v>Επιδαύρου</v>
      </c>
    </row>
    <row r="251" spans="1:15" x14ac:dyDescent="0.25">
      <c r="A251" s="199">
        <v>250</v>
      </c>
      <c r="B251" t="s">
        <v>412</v>
      </c>
      <c r="C251" t="s">
        <v>292</v>
      </c>
      <c r="D251" t="s">
        <v>292</v>
      </c>
      <c r="E251" t="str">
        <f t="shared" si="21"/>
        <v xml:space="preserve">ΝΟΤΙΟΥ ΑΙΓΑΙΟΥ - ΚΑΡΠΑΘΟΥ, </v>
      </c>
      <c r="F251" s="225" t="s">
        <v>824</v>
      </c>
      <c r="G251" s="225">
        <v>14196</v>
      </c>
      <c r="H251" t="str">
        <f>IFERROR(INDEX(DimosNaiOxi,MATCH(ΤΚ!E251,DimosNai,0)),"")</f>
        <v/>
      </c>
      <c r="I251" t="str">
        <f>LOOKUP(B251,ΠΕΡΙΦΕΡΕΙΑ!$A$2:$A$14,ΠΕΡΙΦΕΡΕΙΑ!$B$2:$B$14)</f>
        <v>Μερική</v>
      </c>
      <c r="J251" t="str">
        <f t="shared" si="25"/>
        <v/>
      </c>
      <c r="K251" s="199">
        <f t="shared" si="22"/>
        <v>283</v>
      </c>
      <c r="L251" t="str">
        <f t="shared" si="23"/>
        <v>ΠΕΛΟΠΟΝΝΗΣΟΥ</v>
      </c>
      <c r="M251" t="str">
        <f t="shared" si="24"/>
        <v>ΠΕΛΟΠΟΝΝΗΣΟΥ - ΕΡΜΙΟΝΙΔΑΣ</v>
      </c>
      <c r="N251" s="197">
        <f t="shared" si="26"/>
        <v>14100</v>
      </c>
      <c r="O251" s="197" t="str">
        <f t="shared" si="27"/>
        <v>Ερμιονίδας</v>
      </c>
    </row>
    <row r="252" spans="1:15" x14ac:dyDescent="0.25">
      <c r="A252" s="199">
        <v>251</v>
      </c>
      <c r="B252" t="s">
        <v>412</v>
      </c>
      <c r="C252" t="s">
        <v>292</v>
      </c>
      <c r="D252" t="s">
        <v>293</v>
      </c>
      <c r="E252" t="str">
        <f t="shared" si="21"/>
        <v xml:space="preserve">ΝΟΤΙΟΥ ΑΙΓΑΙΟΥ - ΚΑΣΟΥ, </v>
      </c>
      <c r="F252" s="225" t="s">
        <v>825</v>
      </c>
      <c r="G252" s="225">
        <v>14160</v>
      </c>
      <c r="H252" t="str">
        <f>IFERROR(INDEX(DimosNaiOxi,MATCH(ΤΚ!E252,DimosNai,0)),"")</f>
        <v/>
      </c>
      <c r="I252" t="str">
        <f>LOOKUP(B252,ΠΕΡΙΦΕΡΕΙΑ!$A$2:$A$14,ΠΕΡΙΦΕΡΕΙΑ!$B$2:$B$14)</f>
        <v>Μερική</v>
      </c>
      <c r="J252" t="str">
        <f t="shared" si="25"/>
        <v/>
      </c>
      <c r="K252" s="199">
        <f t="shared" si="22"/>
        <v>284</v>
      </c>
      <c r="L252" t="str">
        <f t="shared" si="23"/>
        <v>ΠΕΛΟΠΟΝΝΗΣΟΥ</v>
      </c>
      <c r="M252" t="str">
        <f t="shared" si="24"/>
        <v>ΠΕΛΟΠΟΝΝΗΣΟΥ - ΕΥΡΩΤΑ</v>
      </c>
      <c r="N252" s="197">
        <f t="shared" si="26"/>
        <v>14104</v>
      </c>
      <c r="O252" s="197" t="str">
        <f t="shared" si="27"/>
        <v>Ευρώτα</v>
      </c>
    </row>
    <row r="253" spans="1:15" x14ac:dyDescent="0.25">
      <c r="A253" s="199">
        <v>252</v>
      </c>
      <c r="B253" t="s">
        <v>412</v>
      </c>
      <c r="C253" t="s">
        <v>391</v>
      </c>
      <c r="D253" t="s">
        <v>294</v>
      </c>
      <c r="E253" t="str">
        <f t="shared" si="21"/>
        <v xml:space="preserve">ΝΟΤΙΟΥ ΑΙΓΑΙΟΥ - ΚΕΑΣ, </v>
      </c>
      <c r="F253" s="225" t="s">
        <v>826</v>
      </c>
      <c r="G253" s="225">
        <v>14164</v>
      </c>
      <c r="H253" t="str">
        <f>IFERROR(INDEX(DimosNaiOxi,MATCH(ΤΚ!E253,DimosNai,0)),"")</f>
        <v/>
      </c>
      <c r="I253" t="str">
        <f>LOOKUP(B253,ΠΕΡΙΦΕΡΕΙΑ!$A$2:$A$14,ΠΕΡΙΦΕΡΕΙΑ!$B$2:$B$14)</f>
        <v>Μερική</v>
      </c>
      <c r="J253" t="str">
        <f t="shared" si="25"/>
        <v/>
      </c>
      <c r="K253" s="199">
        <f t="shared" si="22"/>
        <v>285</v>
      </c>
      <c r="L253" t="str">
        <f t="shared" si="23"/>
        <v>ΠΕΛΟΠΟΝΝΗΣΟΥ</v>
      </c>
      <c r="M253" t="str">
        <f t="shared" si="24"/>
        <v>ΠΕΛΟΠΟΝΝΗΣΟΥ - ΚΑΛΑΜΑΤΑΣ</v>
      </c>
      <c r="N253" s="197">
        <f t="shared" si="26"/>
        <v>14180</v>
      </c>
      <c r="O253" s="197" t="str">
        <f t="shared" si="27"/>
        <v>Καλαμάτας</v>
      </c>
    </row>
    <row r="254" spans="1:15" x14ac:dyDescent="0.25">
      <c r="A254" s="199">
        <v>253</v>
      </c>
      <c r="B254" t="s">
        <v>412</v>
      </c>
      <c r="C254" t="s">
        <v>299</v>
      </c>
      <c r="D254" t="s">
        <v>298</v>
      </c>
      <c r="E254" t="str">
        <f t="shared" si="21"/>
        <v xml:space="preserve">ΝΟΤΙΟΥ ΑΙΓΑΙΟΥ - ΚΙΜΩΛΟΥ, </v>
      </c>
      <c r="F254" s="225" t="s">
        <v>827</v>
      </c>
      <c r="G254" s="225">
        <v>14218</v>
      </c>
      <c r="H254" t="str">
        <f>IFERROR(INDEX(DimosNaiOxi,MATCH(ΤΚ!E254,DimosNai,0)),"")</f>
        <v/>
      </c>
      <c r="I254" t="str">
        <f>LOOKUP(B254,ΠΕΡΙΦΕΡΕΙΑ!$A$2:$A$14,ΠΕΡΙΦΕΡΕΙΑ!$B$2:$B$14)</f>
        <v>Μερική</v>
      </c>
      <c r="J254" t="str">
        <f t="shared" si="25"/>
        <v/>
      </c>
      <c r="K254" s="199">
        <f t="shared" si="22"/>
        <v>286</v>
      </c>
      <c r="L254" t="str">
        <f t="shared" si="23"/>
        <v>ΠΕΛΟΠΟΝΝΗΣΟΥ</v>
      </c>
      <c r="M254" t="str">
        <f t="shared" si="24"/>
        <v>ΠΕΛΟΠΟΝΝΗΣΟΥ - ΚΟΡΙΝΘΙΩΝ</v>
      </c>
      <c r="N254" s="197">
        <f t="shared" si="26"/>
        <v>14228</v>
      </c>
      <c r="O254" s="197" t="str">
        <f t="shared" si="27"/>
        <v>Κορινθίων</v>
      </c>
    </row>
    <row r="255" spans="1:15" x14ac:dyDescent="0.25">
      <c r="A255" s="199">
        <v>254</v>
      </c>
      <c r="B255" t="s">
        <v>412</v>
      </c>
      <c r="C255" t="s">
        <v>391</v>
      </c>
      <c r="D255" t="s">
        <v>295</v>
      </c>
      <c r="E255" t="str">
        <f t="shared" si="21"/>
        <v xml:space="preserve">ΝΟΤΙΟΥ ΑΙΓΑΙΟΥ - ΚΥΘΝΟΥ, </v>
      </c>
      <c r="F255" s="225" t="s">
        <v>828</v>
      </c>
      <c r="G255" s="225">
        <v>14170</v>
      </c>
      <c r="H255" t="str">
        <f>IFERROR(INDEX(DimosNaiOxi,MATCH(ΤΚ!E255,DimosNai,0)),"")</f>
        <v/>
      </c>
      <c r="I255" t="str">
        <f>LOOKUP(B255,ΠΕΡΙΦΕΡΕΙΑ!$A$2:$A$14,ΠΕΡΙΦΕΡΕΙΑ!$B$2:$B$14)</f>
        <v>Μερική</v>
      </c>
      <c r="J255" t="str">
        <f t="shared" si="25"/>
        <v/>
      </c>
      <c r="K255" s="199">
        <f t="shared" si="22"/>
        <v>287</v>
      </c>
      <c r="L255" t="str">
        <f t="shared" si="23"/>
        <v>ΠΕΛΟΠΟΝΝΗΣΟΥ</v>
      </c>
      <c r="M255" t="str">
        <f t="shared" si="24"/>
        <v>ΠΕΛΟΠΟΝΝΗΣΟΥ - ΛΟΥΤΡΑΚΙΟΥ – ΑΓΙΩΝ ΘΕΟΔΩΡΩΝ</v>
      </c>
      <c r="N255" s="197">
        <f t="shared" si="26"/>
        <v>14262</v>
      </c>
      <c r="O255" s="197" t="str">
        <f t="shared" si="27"/>
        <v>Λουτρακίου - Αγ. Θεοδώρων</v>
      </c>
    </row>
    <row r="256" spans="1:15" x14ac:dyDescent="0.25">
      <c r="A256" s="199">
        <v>255</v>
      </c>
      <c r="B256" t="s">
        <v>412</v>
      </c>
      <c r="C256" t="s">
        <v>296</v>
      </c>
      <c r="D256" t="s">
        <v>296</v>
      </c>
      <c r="E256" t="str">
        <f t="shared" si="21"/>
        <v xml:space="preserve">ΝΟΤΙΟΥ ΑΙΓΑΙΟΥ - ΚΩ, </v>
      </c>
      <c r="F256" s="225" t="s">
        <v>829</v>
      </c>
      <c r="G256" s="225">
        <v>14236</v>
      </c>
      <c r="H256" t="str">
        <f>IFERROR(INDEX(DimosNaiOxi,MATCH(ΤΚ!E256,DimosNai,0)),"")</f>
        <v>ΝΑΙ</v>
      </c>
      <c r="I256" t="str">
        <f>LOOKUP(B256,ΠΕΡΙΦΕΡΕΙΑ!$A$2:$A$14,ΠΕΡΙΦΕΡΕΙΑ!$B$2:$B$14)</f>
        <v>Μερική</v>
      </c>
      <c r="J256">
        <f t="shared" si="25"/>
        <v>255</v>
      </c>
      <c r="K256" s="199">
        <f t="shared" si="22"/>
        <v>288</v>
      </c>
      <c r="L256" t="str">
        <f t="shared" si="23"/>
        <v>ΠΕΛΟΠΟΝΝΗΣΟΥ</v>
      </c>
      <c r="M256" t="str">
        <f t="shared" si="24"/>
        <v>ΠΕΛΟΠΟΝΝΗΣΟΥ - ΜΕΓΑΛΟΠΟΛΗΣ</v>
      </c>
      <c r="N256" s="197">
        <f t="shared" si="26"/>
        <v>14288</v>
      </c>
      <c r="O256" s="197" t="str">
        <f t="shared" si="27"/>
        <v>Μεγαλόπολης</v>
      </c>
    </row>
    <row r="257" spans="1:15" x14ac:dyDescent="0.25">
      <c r="A257" s="199">
        <v>256</v>
      </c>
      <c r="B257" t="s">
        <v>412</v>
      </c>
      <c r="C257" t="s">
        <v>390</v>
      </c>
      <c r="D257" t="s">
        <v>289</v>
      </c>
      <c r="E257" t="str">
        <f t="shared" si="21"/>
        <v xml:space="preserve">ΝΟΤΙΟΥ ΑΙΓΑΙΟΥ - ΛΕΙΨΩΝ, </v>
      </c>
      <c r="F257" s="225" t="s">
        <v>830</v>
      </c>
      <c r="G257" s="225">
        <v>14256</v>
      </c>
      <c r="H257" t="str">
        <f>IFERROR(INDEX(DimosNaiOxi,MATCH(ΤΚ!E257,DimosNai,0)),"")</f>
        <v/>
      </c>
      <c r="I257" t="str">
        <f>LOOKUP(B257,ΠΕΡΙΦΕΡΕΙΑ!$A$2:$A$14,ΠΕΡΙΦΕΡΕΙΑ!$B$2:$B$14)</f>
        <v>Μερική</v>
      </c>
      <c r="J257" t="str">
        <f t="shared" si="25"/>
        <v/>
      </c>
      <c r="K257" s="199">
        <f t="shared" si="22"/>
        <v>289</v>
      </c>
      <c r="L257" t="str">
        <f t="shared" si="23"/>
        <v>ΠΕΛΟΠΟΝΝΗΣΟΥ</v>
      </c>
      <c r="M257" t="str">
        <f t="shared" si="24"/>
        <v>ΠΕΛΟΠΟΝΝΗΣΟΥ - ΜΕΣΣΗΝΗΣ</v>
      </c>
      <c r="N257" s="197">
        <f t="shared" si="26"/>
        <v>14294</v>
      </c>
      <c r="O257" s="197" t="str">
        <f t="shared" si="27"/>
        <v>Μεσσήνης</v>
      </c>
    </row>
    <row r="258" spans="1:15" x14ac:dyDescent="0.25">
      <c r="A258" s="199">
        <v>257</v>
      </c>
      <c r="B258" t="s">
        <v>412</v>
      </c>
      <c r="C258" t="s">
        <v>390</v>
      </c>
      <c r="D258" t="s">
        <v>290</v>
      </c>
      <c r="E258" t="str">
        <f t="shared" ref="E258:E321" si="28">B258&amp;" - "&amp;D258&amp;", "</f>
        <v xml:space="preserve">ΝΟΤΙΟΥ ΑΙΓΑΙΟΥ - ΛΕΡΟΥ, </v>
      </c>
      <c r="F258" s="225" t="s">
        <v>831</v>
      </c>
      <c r="G258" s="225">
        <v>14238</v>
      </c>
      <c r="H258" t="str">
        <f>IFERROR(INDEX(DimosNaiOxi,MATCH(ΤΚ!E258,DimosNai,0)),"")</f>
        <v/>
      </c>
      <c r="I258" t="str">
        <f>LOOKUP(B258,ΠΕΡΙΦΕΡΕΙΑ!$A$2:$A$14,ΠΕΡΙΦΕΡΕΙΑ!$B$2:$B$14)</f>
        <v>Μερική</v>
      </c>
      <c r="J258" t="str">
        <f t="shared" si="25"/>
        <v/>
      </c>
      <c r="K258" s="199">
        <f t="shared" ref="K258:K321" si="29">SMALL(J:J,A258)</f>
        <v>290</v>
      </c>
      <c r="L258" t="str">
        <f t="shared" ref="L258:L321" si="30">IF(ISNUMBER(K258),LOOKUP(K258,A:A,B:B),"")</f>
        <v>ΠΕΛΟΠΟΝΝΗΣΟΥ</v>
      </c>
      <c r="M258" t="str">
        <f t="shared" ref="M258:M326" si="31">IF(ISNUMBER(K258),LOOKUP(K258,A:A,B:B)&amp;" - "&amp;LOOKUP(K258,A:A,D:D),"")</f>
        <v>ΠΕΛΟΠΟΝΝΗΣΟΥ - ΜΟΝΕΜΒΑΣΙΑΣ</v>
      </c>
      <c r="N258" s="197">
        <f t="shared" si="26"/>
        <v>14302</v>
      </c>
      <c r="O258" s="197" t="str">
        <f t="shared" si="27"/>
        <v>Μονεμβασιάς</v>
      </c>
    </row>
    <row r="259" spans="1:15" x14ac:dyDescent="0.25">
      <c r="A259" s="199">
        <v>258</v>
      </c>
      <c r="B259" t="s">
        <v>412</v>
      </c>
      <c r="C259" t="s">
        <v>308</v>
      </c>
      <c r="D259" t="s">
        <v>307</v>
      </c>
      <c r="E259" t="str">
        <f t="shared" si="28"/>
        <v xml:space="preserve">ΝΟΤΙΟΥ ΑΙΓΑΙΟΥ - ΜΕΓΙΣΤΗΣ, </v>
      </c>
      <c r="F259" s="225" t="s">
        <v>832</v>
      </c>
      <c r="G259" s="225">
        <v>14286</v>
      </c>
      <c r="H259" t="str">
        <f>IFERROR(INDEX(DimosNaiOxi,MATCH(ΤΚ!E259,DimosNai,0)),"")</f>
        <v/>
      </c>
      <c r="I259" t="str">
        <f>LOOKUP(B259,ΠΕΡΙΦΕΡΕΙΑ!$A$2:$A$14,ΠΕΡΙΦΕΡΕΙΑ!$B$2:$B$14)</f>
        <v>Μερική</v>
      </c>
      <c r="J259" t="str">
        <f t="shared" ref="J259:J322" si="32">IF(OR(AND(I259="Μερική",H259="ΝΑΙ"),I259="Ολική"),A259,"")</f>
        <v/>
      </c>
      <c r="K259" s="199">
        <f t="shared" si="29"/>
        <v>291</v>
      </c>
      <c r="L259" t="str">
        <f t="shared" si="30"/>
        <v>ΠΕΛΟΠΟΝΝΗΣΟΥ</v>
      </c>
      <c r="M259" t="str">
        <f t="shared" si="31"/>
        <v>ΠΕΛΟΠΟΝΝΗΣΟΥ - ΝΑΥΠΛΙΕΩΝ</v>
      </c>
      <c r="N259" s="197">
        <f t="shared" ref="N259:N322" si="33">IF(ISNUMBER(K259),LOOKUP(K259,A:A,G:G),"")</f>
        <v>14334</v>
      </c>
      <c r="O259" s="197" t="str">
        <f t="shared" ref="O259:O322" si="34">IF(ISNUMBER(K259),LOOKUP(K259,A:A,F:F),"")</f>
        <v>Ναυπλιέων</v>
      </c>
    </row>
    <row r="260" spans="1:15" x14ac:dyDescent="0.25">
      <c r="A260" s="199">
        <v>259</v>
      </c>
      <c r="B260" t="s">
        <v>412</v>
      </c>
      <c r="C260" t="s">
        <v>299</v>
      </c>
      <c r="D260" t="s">
        <v>299</v>
      </c>
      <c r="E260" t="str">
        <f t="shared" si="28"/>
        <v xml:space="preserve">ΝΟΤΙΟΥ ΑΙΓΑΙΟΥ - ΜΗΛΟΥ, </v>
      </c>
      <c r="F260" s="225" t="s">
        <v>833</v>
      </c>
      <c r="G260" s="225">
        <v>14268</v>
      </c>
      <c r="H260" t="str">
        <f>IFERROR(INDEX(DimosNaiOxi,MATCH(ΤΚ!E260,DimosNai,0)),"")</f>
        <v>ΝΑΙ</v>
      </c>
      <c r="I260" t="str">
        <f>LOOKUP(B260,ΠΕΡΙΦΕΡΕΙΑ!$A$2:$A$14,ΠΕΡΙΦΕΡΕΙΑ!$B$2:$B$14)</f>
        <v>Μερική</v>
      </c>
      <c r="J260">
        <f t="shared" si="32"/>
        <v>259</v>
      </c>
      <c r="K260" s="199">
        <f t="shared" si="29"/>
        <v>292</v>
      </c>
      <c r="L260" t="str">
        <f t="shared" si="30"/>
        <v>ΠΕΛΟΠΟΝΝΗΣΟΥ</v>
      </c>
      <c r="M260" t="str">
        <f t="shared" si="31"/>
        <v>ΠΕΛΟΠΟΝΝΗΣΟΥ - ΝΕΜΕΑΣ</v>
      </c>
      <c r="N260" s="197">
        <f t="shared" si="33"/>
        <v>14336</v>
      </c>
      <c r="O260" s="197" t="str">
        <f t="shared" si="34"/>
        <v>Νεμέας</v>
      </c>
    </row>
    <row r="261" spans="1:15" x14ac:dyDescent="0.25">
      <c r="A261" s="199">
        <v>260</v>
      </c>
      <c r="B261" t="s">
        <v>412</v>
      </c>
      <c r="C261" t="s">
        <v>302</v>
      </c>
      <c r="D261" t="s">
        <v>302</v>
      </c>
      <c r="E261" t="str">
        <f t="shared" si="28"/>
        <v xml:space="preserve">ΝΟΤΙΟΥ ΑΙΓΑΙΟΥ - ΜΥΚΟΝΟΥ, </v>
      </c>
      <c r="F261" s="225" t="s">
        <v>834</v>
      </c>
      <c r="G261" s="225">
        <v>14308</v>
      </c>
      <c r="H261" t="str">
        <f>IFERROR(INDEX(DimosNaiOxi,MATCH(ΤΚ!E261,DimosNai,0)),"")</f>
        <v>ΝΑΙ</v>
      </c>
      <c r="I261" t="str">
        <f>LOOKUP(B261,ΠΕΡΙΦΕΡΕΙΑ!$A$2:$A$14,ΠΕΡΙΦΕΡΕΙΑ!$B$2:$B$14)</f>
        <v>Μερική</v>
      </c>
      <c r="J261">
        <f t="shared" si="32"/>
        <v>260</v>
      </c>
      <c r="K261" s="199">
        <f t="shared" si="29"/>
        <v>293</v>
      </c>
      <c r="L261" t="str">
        <f t="shared" si="30"/>
        <v>ΠΕΛΟΠΟΝΝΗΣΟΥ</v>
      </c>
      <c r="M261" t="str">
        <f t="shared" si="31"/>
        <v>ΠΕΛΟΠΟΝΝΗΣΟΥ - ΝΟΤΙΑΣ ΚΥΝΟΥΡΙΑΣ</v>
      </c>
      <c r="N261" s="197">
        <f t="shared" si="33"/>
        <v>14330</v>
      </c>
      <c r="O261" s="197" t="str">
        <f t="shared" si="34"/>
        <v>Νότιας Κυνουρίας</v>
      </c>
    </row>
    <row r="262" spans="1:15" x14ac:dyDescent="0.25">
      <c r="A262" s="199">
        <v>261</v>
      </c>
      <c r="B262" t="s">
        <v>412</v>
      </c>
      <c r="C262" t="s">
        <v>392</v>
      </c>
      <c r="D262" t="s">
        <v>304</v>
      </c>
      <c r="E262" t="str">
        <f t="shared" si="28"/>
        <v xml:space="preserve">ΝΟΤΙΟΥ ΑΙΓΑΙΟΥ - ΝΑΞΟΥ ΚΑΙ ΜΙΚΡΩΝ ΚΥΚΛΑΔΩΝ, </v>
      </c>
      <c r="F262" s="225" t="s">
        <v>835</v>
      </c>
      <c r="G262" s="225">
        <v>14312</v>
      </c>
      <c r="H262" t="str">
        <f>IFERROR(INDEX(DimosNaiOxi,MATCH(ΤΚ!E262,DimosNai,0)),"")</f>
        <v>ΝΑΙ</v>
      </c>
      <c r="I262" t="str">
        <f>LOOKUP(B262,ΠΕΡΙΦΕΡΕΙΑ!$A$2:$A$14,ΠΕΡΙΦΕΡΕΙΑ!$B$2:$B$14)</f>
        <v>Μερική</v>
      </c>
      <c r="J262">
        <f t="shared" si="32"/>
        <v>261</v>
      </c>
      <c r="K262" s="199">
        <f t="shared" si="29"/>
        <v>294</v>
      </c>
      <c r="L262" t="str">
        <f t="shared" si="30"/>
        <v>ΠΕΛΟΠΟΝΝΗΣΟΥ</v>
      </c>
      <c r="M262" t="str">
        <f t="shared" si="31"/>
        <v>ΠΕΛΟΠΟΝΝΗΣΟΥ - ΞΥΛΟΚΑΣΤΡΟΥ – ΕΥΡΩΣΤΙΝΗΣ</v>
      </c>
      <c r="N262" s="197">
        <f t="shared" si="33"/>
        <v>14350</v>
      </c>
      <c r="O262" s="197" t="str">
        <f t="shared" si="34"/>
        <v>Ξυλοκάστρου - Ευρωστίνης</v>
      </c>
    </row>
    <row r="263" spans="1:15" x14ac:dyDescent="0.25">
      <c r="A263" s="199">
        <v>262</v>
      </c>
      <c r="B263" t="s">
        <v>412</v>
      </c>
      <c r="C263" t="s">
        <v>296</v>
      </c>
      <c r="D263" t="s">
        <v>297</v>
      </c>
      <c r="E263" t="str">
        <f t="shared" si="28"/>
        <v xml:space="preserve">ΝΟΤΙΟΥ ΑΙΓΑΙΟΥ - ΝΙΣΥΡΟΥ, </v>
      </c>
      <c r="F263" s="225" t="s">
        <v>836</v>
      </c>
      <c r="G263" s="225">
        <v>14342</v>
      </c>
      <c r="H263" t="str">
        <f>IFERROR(INDEX(DimosNaiOxi,MATCH(ΤΚ!E263,DimosNai,0)),"")</f>
        <v/>
      </c>
      <c r="I263" t="str">
        <f>LOOKUP(B263,ΠΕΡΙΦΕΡΕΙΑ!$A$2:$A$14,ΠΕΡΙΦΕΡΕΙΑ!$B$2:$B$14)</f>
        <v>Μερική</v>
      </c>
      <c r="J263" t="str">
        <f t="shared" si="32"/>
        <v/>
      </c>
      <c r="K263" s="199">
        <f t="shared" si="29"/>
        <v>295</v>
      </c>
      <c r="L263" t="str">
        <f t="shared" si="30"/>
        <v>ΠΕΛΟΠΟΝΝΗΣΟΥ</v>
      </c>
      <c r="M263" t="str">
        <f t="shared" si="31"/>
        <v>ΠΕΛΟΠΟΝΝΗΣΟΥ - ΟΙΧΑΛΙΑΣ</v>
      </c>
      <c r="N263" s="197">
        <f t="shared" si="33"/>
        <v>14354</v>
      </c>
      <c r="O263" s="197" t="str">
        <f t="shared" si="34"/>
        <v>Οιχαλίας</v>
      </c>
    </row>
    <row r="264" spans="1:15" x14ac:dyDescent="0.25">
      <c r="A264" s="199">
        <v>263</v>
      </c>
      <c r="B264" t="s">
        <v>412</v>
      </c>
      <c r="C264" t="s">
        <v>306</v>
      </c>
      <c r="D264" t="s">
        <v>306</v>
      </c>
      <c r="E264" t="str">
        <f t="shared" si="28"/>
        <v xml:space="preserve">ΝΟΤΙΟΥ ΑΙΓΑΙΟΥ - ΠΑΡΟΥ, </v>
      </c>
      <c r="F264" s="225" t="s">
        <v>837</v>
      </c>
      <c r="G264" s="225">
        <v>14366</v>
      </c>
      <c r="H264" t="str">
        <f>IFERROR(INDEX(DimosNaiOxi,MATCH(ΤΚ!E264,DimosNai,0)),"")</f>
        <v>ΝΑΙ</v>
      </c>
      <c r="I264" t="str">
        <f>LOOKUP(B264,ΠΕΡΙΦΕΡΕΙΑ!$A$2:$A$14,ΠΕΡΙΦΕΡΕΙΑ!$B$2:$B$14)</f>
        <v>Μερική</v>
      </c>
      <c r="J264">
        <f t="shared" si="32"/>
        <v>263</v>
      </c>
      <c r="K264" s="199">
        <f t="shared" si="29"/>
        <v>296</v>
      </c>
      <c r="L264" t="str">
        <f t="shared" si="30"/>
        <v>ΠΕΛΟΠΟΝΝΗΣΟΥ</v>
      </c>
      <c r="M264" t="str">
        <f t="shared" si="31"/>
        <v>ΠΕΛΟΠΟΝΝΗΣΟΥ - ΠΥΛΟΥ – ΝΕΣΤΟΡΟΣ</v>
      </c>
      <c r="N264" s="197">
        <f t="shared" si="33"/>
        <v>14378</v>
      </c>
      <c r="O264" s="197" t="str">
        <f t="shared" si="34"/>
        <v>Πύλου - Νέστορος</v>
      </c>
    </row>
    <row r="265" spans="1:15" x14ac:dyDescent="0.25">
      <c r="A265" s="199">
        <v>264</v>
      </c>
      <c r="B265" t="s">
        <v>412</v>
      </c>
      <c r="C265" t="s">
        <v>390</v>
      </c>
      <c r="D265" t="s">
        <v>291</v>
      </c>
      <c r="E265" t="str">
        <f t="shared" si="28"/>
        <v xml:space="preserve">ΝΟΤΙΟΥ ΑΙΓΑΙΟΥ - ΠΑΤΜΟΥ, </v>
      </c>
      <c r="F265" s="225" t="s">
        <v>838</v>
      </c>
      <c r="G265" s="225">
        <v>14368</v>
      </c>
      <c r="H265" t="str">
        <f>IFERROR(INDEX(DimosNaiOxi,MATCH(ΤΚ!E265,DimosNai,0)),"")</f>
        <v/>
      </c>
      <c r="I265" t="str">
        <f>LOOKUP(B265,ΠΕΡΙΦΕΡΕΙΑ!$A$2:$A$14,ΠΕΡΙΦΕΡΕΙΑ!$B$2:$B$14)</f>
        <v>Μερική</v>
      </c>
      <c r="J265" t="str">
        <f t="shared" si="32"/>
        <v/>
      </c>
      <c r="K265" s="199">
        <f t="shared" si="29"/>
        <v>297</v>
      </c>
      <c r="L265" t="str">
        <f t="shared" si="30"/>
        <v>ΠΕΛΟΠΟΝΝΗΣΟΥ</v>
      </c>
      <c r="M265" t="str">
        <f t="shared" si="31"/>
        <v>ΠΕΛΟΠΟΝΝΗΣΟΥ - ΣΙΚΥΩΝΙΩΝ</v>
      </c>
      <c r="N265" s="197">
        <f t="shared" si="33"/>
        <v>14464</v>
      </c>
      <c r="O265" s="197" t="str">
        <f t="shared" si="34"/>
        <v>Σικυωνίων</v>
      </c>
    </row>
    <row r="266" spans="1:15" x14ac:dyDescent="0.25">
      <c r="A266" s="199">
        <v>265</v>
      </c>
      <c r="B266" t="s">
        <v>412</v>
      </c>
      <c r="C266" t="s">
        <v>308</v>
      </c>
      <c r="D266" t="s">
        <v>308</v>
      </c>
      <c r="E266" t="str">
        <f t="shared" si="28"/>
        <v xml:space="preserve">ΝΟΤΙΟΥ ΑΙΓΑΙΟΥ - ΡΟΔΟΥ, </v>
      </c>
      <c r="F266" s="225" t="s">
        <v>839</v>
      </c>
      <c r="G266" s="225">
        <v>14432</v>
      </c>
      <c r="H266" t="str">
        <f>IFERROR(INDEX(DimosNaiOxi,MATCH(ΤΚ!E266,DimosNai,0)),"")</f>
        <v>ΝΑΙ</v>
      </c>
      <c r="I266" t="str">
        <f>LOOKUP(B266,ΠΕΡΙΦΕΡΕΙΑ!$A$2:$A$14,ΠΕΡΙΦΕΡΕΙΑ!$B$2:$B$14)</f>
        <v>Μερική</v>
      </c>
      <c r="J266">
        <f t="shared" si="32"/>
        <v>265</v>
      </c>
      <c r="K266" s="199">
        <f t="shared" si="29"/>
        <v>298</v>
      </c>
      <c r="L266" t="str">
        <f t="shared" si="30"/>
        <v>ΠΕΛΟΠΟΝΝΗΣΟΥ</v>
      </c>
      <c r="M266" t="str">
        <f t="shared" si="31"/>
        <v>ΠΕΛΟΠΟΝΝΗΣΟΥ - ΣΠΑΡΤΗΣ</v>
      </c>
      <c r="N266" s="197">
        <f t="shared" si="33"/>
        <v>14482</v>
      </c>
      <c r="O266" s="197" t="str">
        <f t="shared" si="34"/>
        <v>Σπάρτης</v>
      </c>
    </row>
    <row r="267" spans="1:15" x14ac:dyDescent="0.25">
      <c r="A267" s="199">
        <v>266</v>
      </c>
      <c r="B267" t="s">
        <v>412</v>
      </c>
      <c r="C267" t="s">
        <v>299</v>
      </c>
      <c r="D267" t="s">
        <v>300</v>
      </c>
      <c r="E267" t="str">
        <f t="shared" si="28"/>
        <v xml:space="preserve">ΝΟΤΙΟΥ ΑΙΓΑΙΟΥ - ΣΕΡΙΦΟΥ, </v>
      </c>
      <c r="F267" s="225" t="s">
        <v>840</v>
      </c>
      <c r="G267" s="225">
        <v>14452</v>
      </c>
      <c r="H267" t="str">
        <f>IFERROR(INDEX(DimosNaiOxi,MATCH(ΤΚ!E267,DimosNai,0)),"")</f>
        <v/>
      </c>
      <c r="I267" t="str">
        <f>LOOKUP(B267,ΠΕΡΙΦΕΡΕΙΑ!$A$2:$A$14,ΠΕΡΙΦΕΡΕΙΑ!$B$2:$B$14)</f>
        <v>Μερική</v>
      </c>
      <c r="J267" t="str">
        <f t="shared" si="32"/>
        <v/>
      </c>
      <c r="K267" s="199">
        <f t="shared" si="29"/>
        <v>299</v>
      </c>
      <c r="L267" t="str">
        <f t="shared" si="30"/>
        <v>ΠΕΛΟΠΟΝΝΗΣΟΥ</v>
      </c>
      <c r="M267" t="str">
        <f t="shared" si="31"/>
        <v>ΠΕΛΟΠΟΝΝΗΣΟΥ - ΤΡΙΠΟΛΗΣ</v>
      </c>
      <c r="N267" s="197">
        <f t="shared" si="33"/>
        <v>14502</v>
      </c>
      <c r="O267" s="197" t="str">
        <f t="shared" si="34"/>
        <v>Τρίπολης</v>
      </c>
    </row>
    <row r="268" spans="1:15" x14ac:dyDescent="0.25">
      <c r="A268" s="199">
        <v>267</v>
      </c>
      <c r="B268" t="s">
        <v>412</v>
      </c>
      <c r="C268" t="s">
        <v>282</v>
      </c>
      <c r="D268" t="s">
        <v>284</v>
      </c>
      <c r="E268" t="str">
        <f t="shared" si="28"/>
        <v xml:space="preserve">ΝΟΤΙΟΥ ΑΙΓΑΙΟΥ - ΣΙΚΙΝΟΥ, </v>
      </c>
      <c r="F268" s="225" t="s">
        <v>841</v>
      </c>
      <c r="G268" s="225">
        <v>14462</v>
      </c>
      <c r="H268" t="str">
        <f>IFERROR(INDEX(DimosNaiOxi,MATCH(ΤΚ!E268,DimosNai,0)),"")</f>
        <v/>
      </c>
      <c r="I268" t="str">
        <f>LOOKUP(B268,ΠΕΡΙΦΕΡΕΙΑ!$A$2:$A$14,ΠΕΡΙΦΕΡΕΙΑ!$B$2:$B$14)</f>
        <v>Μερική</v>
      </c>
      <c r="J268" t="str">
        <f t="shared" si="32"/>
        <v/>
      </c>
      <c r="K268" s="199">
        <f t="shared" si="29"/>
        <v>300</v>
      </c>
      <c r="L268" t="str">
        <f t="shared" si="30"/>
        <v>ΠΕΛΟΠΟΝΝΗΣΟΥ</v>
      </c>
      <c r="M268" t="str">
        <f t="shared" si="31"/>
        <v>ΠΕΛΟΠΟΝΝΗΣΟΥ - ΤΡΙΦΥΛΙΑΣ</v>
      </c>
      <c r="N268" s="197">
        <f t="shared" si="33"/>
        <v>14506</v>
      </c>
      <c r="O268" s="197" t="str">
        <f t="shared" si="34"/>
        <v>Τριφυλίας</v>
      </c>
    </row>
    <row r="269" spans="1:15" x14ac:dyDescent="0.25">
      <c r="A269" s="199">
        <v>268</v>
      </c>
      <c r="B269" t="s">
        <v>412</v>
      </c>
      <c r="C269" t="s">
        <v>299</v>
      </c>
      <c r="D269" t="s">
        <v>301</v>
      </c>
      <c r="E269" t="str">
        <f t="shared" si="28"/>
        <v xml:space="preserve">ΝΟΤΙΟΥ ΑΙΓΑΙΟΥ - ΣΙΦΝΟΥ, </v>
      </c>
      <c r="F269" s="225" t="s">
        <v>842</v>
      </c>
      <c r="G269" s="225">
        <v>14440</v>
      </c>
      <c r="H269" t="str">
        <f>IFERROR(INDEX(DimosNaiOxi,MATCH(ΤΚ!E269,DimosNai,0)),"")</f>
        <v/>
      </c>
      <c r="I269" t="str">
        <f>LOOKUP(B269,ΠΕΡΙΦΕΡΕΙΑ!$A$2:$A$14,ΠΕΡΙΦΕΡΕΙΑ!$B$2:$B$14)</f>
        <v>Μερική</v>
      </c>
      <c r="J269" t="str">
        <f t="shared" si="32"/>
        <v/>
      </c>
      <c r="K269" s="199">
        <f t="shared" si="29"/>
        <v>301</v>
      </c>
      <c r="L269" t="str">
        <f t="shared" si="30"/>
        <v>ΣΤΕΡΕΑΣ ΕΛΛΑΔΑΣ</v>
      </c>
      <c r="M269" t="str">
        <f t="shared" si="31"/>
        <v>ΣΤΕΡΕΑΣ ΕΛΛΑΔΑΣ - ΑΓΡΑΦΩΝ</v>
      </c>
      <c r="N269" s="197">
        <f t="shared" si="33"/>
        <v>13942</v>
      </c>
      <c r="O269" s="197" t="str">
        <f t="shared" si="34"/>
        <v>Αγράφων</v>
      </c>
    </row>
    <row r="270" spans="1:15" x14ac:dyDescent="0.25">
      <c r="A270" s="199">
        <v>269</v>
      </c>
      <c r="B270" t="s">
        <v>412</v>
      </c>
      <c r="C270" t="s">
        <v>308</v>
      </c>
      <c r="D270" t="s">
        <v>309</v>
      </c>
      <c r="E270" t="str">
        <f t="shared" si="28"/>
        <v xml:space="preserve">ΝΟΤΙΟΥ ΑΙΓΑΙΟΥ - ΣΥΜΗΣ, </v>
      </c>
      <c r="F270" s="225" t="s">
        <v>843</v>
      </c>
      <c r="G270" s="225">
        <v>14442</v>
      </c>
      <c r="H270" t="str">
        <f>IFERROR(INDEX(DimosNaiOxi,MATCH(ΤΚ!E270,DimosNai,0)),"")</f>
        <v/>
      </c>
      <c r="I270" t="str">
        <f>LOOKUP(B270,ΠΕΡΙΦΕΡΕΙΑ!$A$2:$A$14,ΠΕΡΙΦΕΡΕΙΑ!$B$2:$B$14)</f>
        <v>Μερική</v>
      </c>
      <c r="J270" t="str">
        <f t="shared" si="32"/>
        <v/>
      </c>
      <c r="K270" s="199">
        <f t="shared" si="29"/>
        <v>302</v>
      </c>
      <c r="L270" t="str">
        <f t="shared" si="30"/>
        <v>ΣΤΕΡΕΑΣ ΕΛΛΑΔΑΣ</v>
      </c>
      <c r="M270" t="str">
        <f t="shared" si="31"/>
        <v>ΣΤΕΡΕΑΣ ΕΛΛΑΔΑΣ - ΑΛΙΑΡΤΟΥ</v>
      </c>
      <c r="N270" s="197">
        <f t="shared" si="33"/>
        <v>13958</v>
      </c>
      <c r="O270" s="197" t="str">
        <f t="shared" si="34"/>
        <v>Αλιάρτου</v>
      </c>
    </row>
    <row r="271" spans="1:15" x14ac:dyDescent="0.25">
      <c r="A271" s="199">
        <v>270</v>
      </c>
      <c r="B271" t="s">
        <v>412</v>
      </c>
      <c r="C271" t="s">
        <v>393</v>
      </c>
      <c r="D271" t="s">
        <v>312</v>
      </c>
      <c r="E271" t="str">
        <f t="shared" si="28"/>
        <v xml:space="preserve">ΝΟΤΙΟΥ ΑΙΓΑΙΟΥ - ΣΥΡΟΥ – ΕΡΜΟΥΠΟΛΗΣ, </v>
      </c>
      <c r="F271" s="225" t="s">
        <v>844</v>
      </c>
      <c r="G271" s="225">
        <v>14444</v>
      </c>
      <c r="H271" t="str">
        <f>IFERROR(INDEX(DimosNaiOxi,MATCH(ΤΚ!E271,DimosNai,0)),"")</f>
        <v>ΝΑΙ</v>
      </c>
      <c r="I271" t="str">
        <f>LOOKUP(B271,ΠΕΡΙΦΕΡΕΙΑ!$A$2:$A$14,ΠΕΡΙΦΕΡΕΙΑ!$B$2:$B$14)</f>
        <v>Μερική</v>
      </c>
      <c r="J271">
        <f t="shared" si="32"/>
        <v>270</v>
      </c>
      <c r="K271" s="199">
        <f t="shared" si="29"/>
        <v>303</v>
      </c>
      <c r="L271" t="str">
        <f t="shared" si="30"/>
        <v>ΣΤΕΡΕΑΣ ΕΛΛΑΔΑΣ</v>
      </c>
      <c r="M271" t="str">
        <f t="shared" si="31"/>
        <v>ΣΤΕΡΕΑΣ ΕΛΛΑΔΑΣ - ΑΜΦΙΚΛΕΙΑΣ – ΕΛΑΤΕΙΑΣ</v>
      </c>
      <c r="N271" s="197">
        <f t="shared" si="33"/>
        <v>13976</v>
      </c>
      <c r="O271" s="197" t="str">
        <f t="shared" si="34"/>
        <v>Αμφίκλειας - Ελάτειας</v>
      </c>
    </row>
    <row r="272" spans="1:15" x14ac:dyDescent="0.25">
      <c r="A272" s="199">
        <v>271</v>
      </c>
      <c r="B272" t="s">
        <v>412</v>
      </c>
      <c r="C272" t="s">
        <v>308</v>
      </c>
      <c r="D272" t="s">
        <v>310</v>
      </c>
      <c r="E272" t="str">
        <f t="shared" si="28"/>
        <v xml:space="preserve">ΝΟΤΙΟΥ ΑΙΓΑΙΟΥ - ΤΗΛΟΥ, </v>
      </c>
      <c r="F272" s="225" t="s">
        <v>845</v>
      </c>
      <c r="G272" s="225">
        <v>14492</v>
      </c>
      <c r="H272" t="str">
        <f>IFERROR(INDEX(DimosNaiOxi,MATCH(ΤΚ!E272,DimosNai,0)),"")</f>
        <v/>
      </c>
      <c r="I272" t="str">
        <f>LOOKUP(B272,ΠΕΡΙΦΕΡΕΙΑ!$A$2:$A$14,ΠΕΡΙΦΕΡΕΙΑ!$B$2:$B$14)</f>
        <v>Μερική</v>
      </c>
      <c r="J272" t="str">
        <f t="shared" si="32"/>
        <v/>
      </c>
      <c r="K272" s="199">
        <f t="shared" si="29"/>
        <v>304</v>
      </c>
      <c r="L272" t="str">
        <f t="shared" si="30"/>
        <v>ΣΤΕΡΕΑΣ ΕΛΛΑΔΑΣ</v>
      </c>
      <c r="M272" t="str">
        <f t="shared" si="31"/>
        <v>ΣΤΕΡΕΑΣ ΕΛΛΑΔΑΣ - ΔΕΛΦΩΝ</v>
      </c>
      <c r="N272" s="197">
        <f t="shared" si="33"/>
        <v>14058</v>
      </c>
      <c r="O272" s="197" t="str">
        <f t="shared" si="34"/>
        <v>Δελφών</v>
      </c>
    </row>
    <row r="273" spans="1:15" x14ac:dyDescent="0.25">
      <c r="A273" s="199">
        <v>272</v>
      </c>
      <c r="B273" t="s">
        <v>412</v>
      </c>
      <c r="C273" t="s">
        <v>313</v>
      </c>
      <c r="D273" t="s">
        <v>313</v>
      </c>
      <c r="E273" t="str">
        <f t="shared" si="28"/>
        <v xml:space="preserve">ΝΟΤΙΟΥ ΑΙΓΑΙΟΥ - ΤΗΝΟΥ, </v>
      </c>
      <c r="F273" s="225" t="s">
        <v>846</v>
      </c>
      <c r="G273" s="225">
        <v>14494</v>
      </c>
      <c r="H273" t="str">
        <f>IFERROR(INDEX(DimosNaiOxi,MATCH(ΤΚ!E273,DimosNai,0)),"")</f>
        <v>ΝΑΙ</v>
      </c>
      <c r="I273" t="str">
        <f>LOOKUP(B273,ΠΕΡΙΦΕΡΕΙΑ!$A$2:$A$14,ΠΕΡΙΦΕΡΕΙΑ!$B$2:$B$14)</f>
        <v>Μερική</v>
      </c>
      <c r="J273">
        <f t="shared" si="32"/>
        <v>272</v>
      </c>
      <c r="K273" s="199">
        <f t="shared" si="29"/>
        <v>305</v>
      </c>
      <c r="L273" t="str">
        <f t="shared" si="30"/>
        <v>ΣΤΕΡΕΑΣ ΕΛΛΑΔΑΣ</v>
      </c>
      <c r="M273" t="str">
        <f t="shared" si="31"/>
        <v>ΣΤΕΡΕΑΣ ΕΛΛΑΔΑΣ - ΔΙΡΦΥΩΝ – ΜΕΣΣΑΠΙΩΝ</v>
      </c>
      <c r="N273" s="197">
        <f t="shared" si="33"/>
        <v>14066</v>
      </c>
      <c r="O273" s="197" t="str">
        <f t="shared" si="34"/>
        <v>Διρφύων - Μεσσαπίων</v>
      </c>
    </row>
    <row r="274" spans="1:15" x14ac:dyDescent="0.25">
      <c r="A274" s="199">
        <v>273</v>
      </c>
      <c r="B274" t="s">
        <v>412</v>
      </c>
      <c r="C274" t="s">
        <v>282</v>
      </c>
      <c r="D274" t="s">
        <v>285</v>
      </c>
      <c r="E274" t="str">
        <f t="shared" si="28"/>
        <v xml:space="preserve">ΝΟΤΙΟΥ ΑΙΓΑΙΟΥ - ΦΟΛΕΓΑΝΔΡΟΥ, </v>
      </c>
      <c r="F274" s="225" t="s">
        <v>847</v>
      </c>
      <c r="G274" s="225">
        <v>14528</v>
      </c>
      <c r="H274" t="str">
        <f>IFERROR(INDEX(DimosNaiOxi,MATCH(ΤΚ!E274,DimosNai,0)),"")</f>
        <v/>
      </c>
      <c r="I274" t="str">
        <f>LOOKUP(B274,ΠΕΡΙΦΕΡΕΙΑ!$A$2:$A$14,ΠΕΡΙΦΕΡΕΙΑ!$B$2:$B$14)</f>
        <v>Μερική</v>
      </c>
      <c r="J274" t="str">
        <f t="shared" si="32"/>
        <v/>
      </c>
      <c r="K274" s="199">
        <f t="shared" si="29"/>
        <v>306</v>
      </c>
      <c r="L274" t="str">
        <f t="shared" si="30"/>
        <v>ΣΤΕΡΕΑΣ ΕΛΛΑΔΑΣ</v>
      </c>
      <c r="M274" t="str">
        <f t="shared" si="31"/>
        <v>ΣΤΕΡΕΑΣ ΕΛΛΑΔΑΣ - ΔΙΣΤΟΜΟΥ – ΑΡΑΧΟΒΑΣ – ΑΝΤΙΚΥΡΑΣ</v>
      </c>
      <c r="N274" s="197">
        <f t="shared" si="33"/>
        <v>14068</v>
      </c>
      <c r="O274" s="197" t="str">
        <f t="shared" si="34"/>
        <v>Διστόμου-Αράχοβας - Αντίκυρας</v>
      </c>
    </row>
    <row r="275" spans="1:15" x14ac:dyDescent="0.25">
      <c r="A275" s="199">
        <v>274</v>
      </c>
      <c r="B275" t="s">
        <v>412</v>
      </c>
      <c r="C275" t="s">
        <v>308</v>
      </c>
      <c r="D275" t="s">
        <v>311</v>
      </c>
      <c r="E275" t="str">
        <f t="shared" si="28"/>
        <v xml:space="preserve">ΝΟΤΙΟΥ ΑΙΓΑΙΟΥ - ΧΑΛΚΗΣ, </v>
      </c>
      <c r="F275" s="225" t="s">
        <v>848</v>
      </c>
      <c r="G275" s="225">
        <v>14532</v>
      </c>
      <c r="H275" t="str">
        <f>IFERROR(INDEX(DimosNaiOxi,MATCH(ΤΚ!E275,DimosNai,0)),"")</f>
        <v/>
      </c>
      <c r="I275" t="str">
        <f>LOOKUP(B275,ΠΕΡΙΦΕΡΕΙΑ!$A$2:$A$14,ΠΕΡΙΦΕΡΕΙΑ!$B$2:$B$14)</f>
        <v>Μερική</v>
      </c>
      <c r="J275" t="str">
        <f t="shared" si="32"/>
        <v/>
      </c>
      <c r="K275" s="199">
        <f t="shared" si="29"/>
        <v>307</v>
      </c>
      <c r="L275" t="str">
        <f t="shared" si="30"/>
        <v>ΣΤΕΡΕΑΣ ΕΛΛΑΔΑΣ</v>
      </c>
      <c r="M275" t="str">
        <f t="shared" si="31"/>
        <v>ΣΤΕΡΕΑΣ ΕΛΛΑΔΑΣ - ΔΟΜΟΚΟΥ</v>
      </c>
      <c r="N275" s="197">
        <f t="shared" si="33"/>
        <v>14070</v>
      </c>
      <c r="O275" s="197" t="str">
        <f t="shared" si="34"/>
        <v>Δομοκού</v>
      </c>
    </row>
    <row r="276" spans="1:15" x14ac:dyDescent="0.25">
      <c r="A276" s="199">
        <v>275</v>
      </c>
      <c r="B276" t="s">
        <v>413</v>
      </c>
      <c r="C276" t="s">
        <v>397</v>
      </c>
      <c r="D276" t="s">
        <v>329</v>
      </c>
      <c r="E276" t="str">
        <f t="shared" si="28"/>
        <v xml:space="preserve">ΠΕΛΟΠΟΝΝΗΣΟΥ - ΑΝΑΤΟΛΙΚΗΣ ΜΑΝΗΣ, </v>
      </c>
      <c r="F276" s="225" t="s">
        <v>849</v>
      </c>
      <c r="G276" s="225">
        <v>13984</v>
      </c>
      <c r="H276" t="str">
        <f>IFERROR(INDEX(DimosNaiOxi,MATCH(ΤΚ!E276,DimosNai,0)),"")</f>
        <v/>
      </c>
      <c r="I276" t="str">
        <f>LOOKUP(B276,ΠΕΡΙΦΕΡΕΙΑ!$A$2:$A$14,ΠΕΡΙΦΕΡΕΙΑ!$B$2:$B$14)</f>
        <v>Ολική</v>
      </c>
      <c r="J276">
        <f t="shared" si="32"/>
        <v>275</v>
      </c>
      <c r="K276" s="199">
        <f t="shared" si="29"/>
        <v>308</v>
      </c>
      <c r="L276" t="str">
        <f t="shared" si="30"/>
        <v>ΣΤΕΡΕΑΣ ΕΛΛΑΔΑΣ</v>
      </c>
      <c r="M276" t="str">
        <f t="shared" si="31"/>
        <v>ΣΤΕΡΕΑΣ ΕΛΛΑΔΑΣ - ΔΩΡΙΔΟΣ</v>
      </c>
      <c r="N276" s="197">
        <f t="shared" si="33"/>
        <v>14082</v>
      </c>
      <c r="O276" s="197" t="str">
        <f t="shared" si="34"/>
        <v>Δωρίδος</v>
      </c>
    </row>
    <row r="277" spans="1:15" x14ac:dyDescent="0.25">
      <c r="A277" s="199">
        <v>276</v>
      </c>
      <c r="B277" t="s">
        <v>413</v>
      </c>
      <c r="C277" t="s">
        <v>394</v>
      </c>
      <c r="D277" t="s">
        <v>314</v>
      </c>
      <c r="E277" t="str">
        <f t="shared" si="28"/>
        <v xml:space="preserve">ΠΕΛΟΠΟΝΝΗΣΟΥ - ΑΡΓΟΥΣ – ΜΥΚΗΝΩΝ, </v>
      </c>
      <c r="F277" s="225" t="s">
        <v>850</v>
      </c>
      <c r="G277" s="225">
        <v>13910</v>
      </c>
      <c r="H277" t="str">
        <f>IFERROR(INDEX(DimosNaiOxi,MATCH(ΤΚ!E277,DimosNai,0)),"")</f>
        <v/>
      </c>
      <c r="I277" t="str">
        <f>LOOKUP(B277,ΠΕΡΙΦΕΡΕΙΑ!$A$2:$A$14,ΠΕΡΙΦΕΡΕΙΑ!$B$2:$B$14)</f>
        <v>Ολική</v>
      </c>
      <c r="J277">
        <f t="shared" si="32"/>
        <v>276</v>
      </c>
      <c r="K277" s="199">
        <f t="shared" si="29"/>
        <v>309</v>
      </c>
      <c r="L277" t="str">
        <f t="shared" si="30"/>
        <v>ΣΤΕΡΕΑΣ ΕΛΛΑΔΑΣ</v>
      </c>
      <c r="M277" t="str">
        <f t="shared" si="31"/>
        <v>ΣΤΕΡΕΑΣ ΕΛΛΑΔΑΣ - ΕΡΕΤΡΙΑΣ</v>
      </c>
      <c r="N277" s="197">
        <f t="shared" si="33"/>
        <v>14098</v>
      </c>
      <c r="O277" s="197" t="str">
        <f t="shared" si="34"/>
        <v>Ερέτριας</v>
      </c>
    </row>
    <row r="278" spans="1:15" x14ac:dyDescent="0.25">
      <c r="A278" s="199">
        <v>277</v>
      </c>
      <c r="B278" t="s">
        <v>413</v>
      </c>
      <c r="C278" t="s">
        <v>396</v>
      </c>
      <c r="D278" t="s">
        <v>323</v>
      </c>
      <c r="E278" t="str">
        <f t="shared" si="28"/>
        <v xml:space="preserve">ΠΕΛΟΠΟΝΝΗΣΟΥ - ΒΕΛΟΥ – ΒΟΧΑΣ, </v>
      </c>
      <c r="F278" s="225" t="s">
        <v>851</v>
      </c>
      <c r="G278" s="225">
        <v>14016</v>
      </c>
      <c r="H278" t="str">
        <f>IFERROR(INDEX(DimosNaiOxi,MATCH(ΤΚ!E278,DimosNai,0)),"")</f>
        <v/>
      </c>
      <c r="I278" t="str">
        <f>LOOKUP(B278,ΠΕΡΙΦΕΡΕΙΑ!$A$2:$A$14,ΠΕΡΙΦΕΡΕΙΑ!$B$2:$B$14)</f>
        <v>Ολική</v>
      </c>
      <c r="J278">
        <f t="shared" si="32"/>
        <v>277</v>
      </c>
      <c r="K278" s="199">
        <f t="shared" si="29"/>
        <v>310</v>
      </c>
      <c r="L278" t="str">
        <f t="shared" si="30"/>
        <v>ΣΤΕΡΕΑΣ ΕΛΛΑΔΑΣ</v>
      </c>
      <c r="M278" t="str">
        <f t="shared" si="31"/>
        <v>ΣΤΕΡΕΑΣ ΕΛΛΑΔΑΣ - ΘΗΒΑΙΩΝ</v>
      </c>
      <c r="N278" s="197">
        <f t="shared" si="33"/>
        <v>14140</v>
      </c>
      <c r="O278" s="197" t="str">
        <f t="shared" si="34"/>
        <v>Θηβαίων</v>
      </c>
    </row>
    <row r="279" spans="1:15" x14ac:dyDescent="0.25">
      <c r="A279" s="199">
        <v>278</v>
      </c>
      <c r="B279" t="s">
        <v>413</v>
      </c>
      <c r="C279" t="s">
        <v>395</v>
      </c>
      <c r="D279" t="s">
        <v>318</v>
      </c>
      <c r="E279" t="str">
        <f t="shared" si="28"/>
        <v xml:space="preserve">ΠΕΛΟΠΟΝΝΗΣΟΥ - ΒΟΡΕΙΑΣ ΚΥΝΟΥΡΙΑΣ, </v>
      </c>
      <c r="F279" s="225" t="s">
        <v>852</v>
      </c>
      <c r="G279" s="225">
        <v>14024</v>
      </c>
      <c r="H279" t="str">
        <f>IFERROR(INDEX(DimosNaiOxi,MATCH(ΤΚ!E279,DimosNai,0)),"")</f>
        <v/>
      </c>
      <c r="I279" t="str">
        <f>LOOKUP(B279,ΠΕΡΙΦΕΡΕΙΑ!$A$2:$A$14,ΠΕΡΙΦΕΡΕΙΑ!$B$2:$B$14)</f>
        <v>Ολική</v>
      </c>
      <c r="J279">
        <f t="shared" si="32"/>
        <v>278</v>
      </c>
      <c r="K279" s="199">
        <f t="shared" si="29"/>
        <v>311</v>
      </c>
      <c r="L279" t="str">
        <f t="shared" si="30"/>
        <v>ΣΤΕΡΕΑΣ ΕΛΛΑΔΑΣ</v>
      </c>
      <c r="M279" t="str">
        <f t="shared" si="31"/>
        <v>ΣΤΕΡΕΑΣ ΕΛΛΑΔΑΣ - ΙΣΤΙΑΙΑΣ – ΑΙΔΗΨΟΥ</v>
      </c>
      <c r="N279" s="197">
        <f t="shared" si="33"/>
        <v>14156</v>
      </c>
      <c r="O279" s="197" t="str">
        <f t="shared" si="34"/>
        <v>Ιστιαίας - Αιδηψού</v>
      </c>
    </row>
    <row r="280" spans="1:15" x14ac:dyDescent="0.25">
      <c r="A280" s="199">
        <v>279</v>
      </c>
      <c r="B280" t="s">
        <v>413</v>
      </c>
      <c r="C280" t="s">
        <v>395</v>
      </c>
      <c r="D280" t="s">
        <v>319</v>
      </c>
      <c r="E280" t="str">
        <f t="shared" si="28"/>
        <v xml:space="preserve">ΠΕΛΟΠΟΝΝΗΣΟΥ - ΓΟΡΤΥΝΙΑΣ, </v>
      </c>
      <c r="F280" s="225" t="s">
        <v>853</v>
      </c>
      <c r="G280" s="225">
        <v>14048</v>
      </c>
      <c r="H280" t="str">
        <f>IFERROR(INDEX(DimosNaiOxi,MATCH(ΤΚ!E280,DimosNai,0)),"")</f>
        <v/>
      </c>
      <c r="I280" t="str">
        <f>LOOKUP(B280,ΠΕΡΙΦΕΡΕΙΑ!$A$2:$A$14,ΠΕΡΙΦΕΡΕΙΑ!$B$2:$B$14)</f>
        <v>Ολική</v>
      </c>
      <c r="J280">
        <f t="shared" si="32"/>
        <v>279</v>
      </c>
      <c r="K280" s="199">
        <f t="shared" si="29"/>
        <v>312</v>
      </c>
      <c r="L280" t="str">
        <f t="shared" si="30"/>
        <v>ΣΤΕΡΕΑΣ ΕΛΛΑΔΑΣ</v>
      </c>
      <c r="M280" t="str">
        <f t="shared" si="31"/>
        <v>ΣΤΕΡΕΑΣ ΕΛΛΑΔΑΣ - ΚΑΡΠΕΝΗΣΙΟΥ</v>
      </c>
      <c r="N280" s="197">
        <f t="shared" si="33"/>
        <v>14198</v>
      </c>
      <c r="O280" s="197" t="str">
        <f t="shared" si="34"/>
        <v>Καρπενησίου</v>
      </c>
    </row>
    <row r="281" spans="1:15" x14ac:dyDescent="0.25">
      <c r="A281" s="199">
        <v>280</v>
      </c>
      <c r="B281" t="s">
        <v>413</v>
      </c>
      <c r="C281" t="s">
        <v>398</v>
      </c>
      <c r="D281" t="s">
        <v>334</v>
      </c>
      <c r="E281" t="str">
        <f t="shared" si="28"/>
        <v xml:space="preserve">ΠΕΛΟΠΟΝΝΗΣΟΥ - ΔΥΤΙΚΗΣ ΜΑΝΗΣ, </v>
      </c>
      <c r="F281" s="225" t="s">
        <v>854</v>
      </c>
      <c r="G281" s="225">
        <v>14078</v>
      </c>
      <c r="H281" t="str">
        <f>IFERROR(INDEX(DimosNaiOxi,MATCH(ΤΚ!E281,DimosNai,0)),"")</f>
        <v/>
      </c>
      <c r="I281" t="str">
        <f>LOOKUP(B281,ΠΕΡΙΦΕΡΕΙΑ!$A$2:$A$14,ΠΕΡΙΦΕΡΕΙΑ!$B$2:$B$14)</f>
        <v>Ολική</v>
      </c>
      <c r="J281">
        <f t="shared" si="32"/>
        <v>280</v>
      </c>
      <c r="K281" s="199">
        <f t="shared" si="29"/>
        <v>313</v>
      </c>
      <c r="L281" t="str">
        <f t="shared" si="30"/>
        <v>ΣΤΕΡΕΑΣ ΕΛΛΑΔΑΣ</v>
      </c>
      <c r="M281" t="str">
        <f t="shared" si="31"/>
        <v>ΣΤΕΡΕΑΣ ΕΛΛΑΔΑΣ - ΚΑΡΥΣΤΟΥ</v>
      </c>
      <c r="N281" s="197">
        <f t="shared" si="33"/>
        <v>14192</v>
      </c>
      <c r="O281" s="197" t="str">
        <f t="shared" si="34"/>
        <v>Καρύστου</v>
      </c>
    </row>
    <row r="282" spans="1:15" x14ac:dyDescent="0.25">
      <c r="A282" s="199">
        <v>281</v>
      </c>
      <c r="B282" t="s">
        <v>413</v>
      </c>
      <c r="C282" t="s">
        <v>397</v>
      </c>
      <c r="D282" t="s">
        <v>330</v>
      </c>
      <c r="E282" t="str">
        <f t="shared" si="28"/>
        <v xml:space="preserve">ΠΕΛΟΠΟΝΝΗΣΟΥ - ΕΛΑΦΟΝΗΣΟΥ, </v>
      </c>
      <c r="F282" s="225" t="s">
        <v>855</v>
      </c>
      <c r="G282" s="225">
        <v>14086</v>
      </c>
      <c r="H282" t="str">
        <f>IFERROR(INDEX(DimosNaiOxi,MATCH(ΤΚ!E282,DimosNai,0)),"")</f>
        <v/>
      </c>
      <c r="I282" t="str">
        <f>LOOKUP(B282,ΠΕΡΙΦΕΡΕΙΑ!$A$2:$A$14,ΠΕΡΙΦΕΡΕΙΑ!$B$2:$B$14)</f>
        <v>Ολική</v>
      </c>
      <c r="J282">
        <f t="shared" si="32"/>
        <v>281</v>
      </c>
      <c r="K282" s="199">
        <f t="shared" si="29"/>
        <v>314</v>
      </c>
      <c r="L282" t="str">
        <f t="shared" si="30"/>
        <v>ΣΤΕΡΕΑΣ ΕΛΛΑΔΑΣ</v>
      </c>
      <c r="M282" t="str">
        <f t="shared" si="31"/>
        <v>ΣΤΕΡΕΑΣ ΕΛΛΑΔΑΣ - ΚΥΜΗΣ – ΑΛΙΒΕΡΙΟΥ</v>
      </c>
      <c r="N282" s="197">
        <f t="shared" si="33"/>
        <v>14172</v>
      </c>
      <c r="O282" s="197" t="str">
        <f t="shared" si="34"/>
        <v>Κύμης - Αλιβερίου</v>
      </c>
    </row>
    <row r="283" spans="1:15" x14ac:dyDescent="0.25">
      <c r="A283" s="199">
        <v>282</v>
      </c>
      <c r="B283" t="s">
        <v>413</v>
      </c>
      <c r="C283" t="s">
        <v>394</v>
      </c>
      <c r="D283" t="s">
        <v>315</v>
      </c>
      <c r="E283" t="str">
        <f t="shared" si="28"/>
        <v xml:space="preserve">ΠΕΛΟΠΟΝΝΗΣΟΥ - ΕΠΙΔΑΥΡΟΥ, </v>
      </c>
      <c r="F283" s="225" t="s">
        <v>856</v>
      </c>
      <c r="G283" s="225">
        <v>14096</v>
      </c>
      <c r="H283" t="str">
        <f>IFERROR(INDEX(DimosNaiOxi,MATCH(ΤΚ!E283,DimosNai,0)),"")</f>
        <v/>
      </c>
      <c r="I283" t="str">
        <f>LOOKUP(B283,ΠΕΡΙΦΕΡΕΙΑ!$A$2:$A$14,ΠΕΡΙΦΕΡΕΙΑ!$B$2:$B$14)</f>
        <v>Ολική</v>
      </c>
      <c r="J283">
        <f t="shared" si="32"/>
        <v>282</v>
      </c>
      <c r="K283" s="199">
        <f t="shared" si="29"/>
        <v>315</v>
      </c>
      <c r="L283" t="str">
        <f t="shared" si="30"/>
        <v>ΣΤΕΡΕΑΣ ΕΛΛΑΔΑΣ</v>
      </c>
      <c r="M283" t="str">
        <f t="shared" si="31"/>
        <v>ΣΤΕΡΕΑΣ ΕΛΛΑΔΑΣ - ΛΑΜΙΕΩΝ</v>
      </c>
      <c r="N283" s="197">
        <f t="shared" si="33"/>
        <v>14248</v>
      </c>
      <c r="O283" s="197" t="str">
        <f t="shared" si="34"/>
        <v>Λαμιέων</v>
      </c>
    </row>
    <row r="284" spans="1:15" x14ac:dyDescent="0.25">
      <c r="A284" s="199">
        <v>283</v>
      </c>
      <c r="B284" t="s">
        <v>413</v>
      </c>
      <c r="C284" t="s">
        <v>394</v>
      </c>
      <c r="D284" t="s">
        <v>316</v>
      </c>
      <c r="E284" t="str">
        <f t="shared" si="28"/>
        <v xml:space="preserve">ΠΕΛΟΠΟΝΝΗΣΟΥ - ΕΡΜΙΟΝΙΔΑΣ, </v>
      </c>
      <c r="F284" s="225" t="s">
        <v>857</v>
      </c>
      <c r="G284" s="225">
        <v>14100</v>
      </c>
      <c r="H284" t="str">
        <f>IFERROR(INDEX(DimosNaiOxi,MATCH(ΤΚ!E284,DimosNai,0)),"")</f>
        <v/>
      </c>
      <c r="I284" t="str">
        <f>LOOKUP(B284,ΠΕΡΙΦΕΡΕΙΑ!$A$2:$A$14,ΠΕΡΙΦΕΡΕΙΑ!$B$2:$B$14)</f>
        <v>Ολική</v>
      </c>
      <c r="J284">
        <f t="shared" si="32"/>
        <v>283</v>
      </c>
      <c r="K284" s="199">
        <f t="shared" si="29"/>
        <v>316</v>
      </c>
      <c r="L284" t="str">
        <f t="shared" si="30"/>
        <v>ΣΤΕΡΕΑΣ ΕΛΛΑΔΑΣ</v>
      </c>
      <c r="M284" t="str">
        <f t="shared" si="31"/>
        <v>ΣΤΕΡΕΑΣ ΕΛΛΑΔΑΣ - ΛΕΒΑΔΕΩΝ</v>
      </c>
      <c r="N284" s="197">
        <f t="shared" si="33"/>
        <v>14254</v>
      </c>
      <c r="O284" s="197" t="str">
        <f t="shared" si="34"/>
        <v>Λεβαδέων</v>
      </c>
    </row>
    <row r="285" spans="1:15" x14ac:dyDescent="0.25">
      <c r="A285" s="199">
        <v>284</v>
      </c>
      <c r="B285" t="s">
        <v>413</v>
      </c>
      <c r="C285" t="s">
        <v>397</v>
      </c>
      <c r="D285" t="s">
        <v>331</v>
      </c>
      <c r="E285" t="str">
        <f t="shared" si="28"/>
        <v xml:space="preserve">ΠΕΛΟΠΟΝΝΗΣΟΥ - ΕΥΡΩΤΑ, </v>
      </c>
      <c r="F285" s="225" t="s">
        <v>858</v>
      </c>
      <c r="G285" s="225">
        <v>14104</v>
      </c>
      <c r="H285" t="str">
        <f>IFERROR(INDEX(DimosNaiOxi,MATCH(ΤΚ!E285,DimosNai,0)),"")</f>
        <v/>
      </c>
      <c r="I285" t="str">
        <f>LOOKUP(B285,ΠΕΡΙΦΕΡΕΙΑ!$A$2:$A$14,ΠΕΡΙΦΕΡΕΙΑ!$B$2:$B$14)</f>
        <v>Ολική</v>
      </c>
      <c r="J285">
        <f t="shared" si="32"/>
        <v>284</v>
      </c>
      <c r="K285" s="199">
        <f t="shared" si="29"/>
        <v>317</v>
      </c>
      <c r="L285" t="str">
        <f t="shared" si="30"/>
        <v>ΣΤΕΡΕΑΣ ΕΛΛΑΔΑΣ</v>
      </c>
      <c r="M285" t="str">
        <f t="shared" si="31"/>
        <v>ΣΤΕΡΕΑΣ ΕΛΛΑΔΑΣ - ΛΟΚΡΩΝ</v>
      </c>
      <c r="N285" s="197">
        <f t="shared" si="33"/>
        <v>14260</v>
      </c>
      <c r="O285" s="197" t="str">
        <f t="shared" si="34"/>
        <v>Λοκρών</v>
      </c>
    </row>
    <row r="286" spans="1:15" x14ac:dyDescent="0.25">
      <c r="A286" s="199">
        <v>285</v>
      </c>
      <c r="B286" t="s">
        <v>413</v>
      </c>
      <c r="C286" t="s">
        <v>398</v>
      </c>
      <c r="D286" t="s">
        <v>335</v>
      </c>
      <c r="E286" t="str">
        <f t="shared" si="28"/>
        <v xml:space="preserve">ΠΕΛΟΠΟΝΝΗΣΟΥ - ΚΑΛΑΜΑΤΑΣ, </v>
      </c>
      <c r="F286" s="225" t="s">
        <v>859</v>
      </c>
      <c r="G286" s="225">
        <v>14180</v>
      </c>
      <c r="H286" t="str">
        <f>IFERROR(INDEX(DimosNaiOxi,MATCH(ΤΚ!E286,DimosNai,0)),"")</f>
        <v/>
      </c>
      <c r="I286" t="str">
        <f>LOOKUP(B286,ΠΕΡΙΦΕΡΕΙΑ!$A$2:$A$14,ΠΕΡΙΦΕΡΕΙΑ!$B$2:$B$14)</f>
        <v>Ολική</v>
      </c>
      <c r="J286">
        <f t="shared" si="32"/>
        <v>285</v>
      </c>
      <c r="K286" s="199">
        <f t="shared" si="29"/>
        <v>318</v>
      </c>
      <c r="L286" t="str">
        <f t="shared" si="30"/>
        <v>ΣΤΕΡΕΑΣ ΕΛΛΑΔΑΣ</v>
      </c>
      <c r="M286" t="str">
        <f t="shared" si="31"/>
        <v>ΣΤΕΡΕΑΣ ΕΛΛΑΔΑΣ - ΜΑΚΡΑΚΩΜΗΣ</v>
      </c>
      <c r="N286" s="197">
        <f t="shared" si="33"/>
        <v>14274</v>
      </c>
      <c r="O286" s="197" t="str">
        <f t="shared" si="34"/>
        <v>Μακρακώμης</v>
      </c>
    </row>
    <row r="287" spans="1:15" x14ac:dyDescent="0.25">
      <c r="A287" s="199">
        <v>286</v>
      </c>
      <c r="B287" t="s">
        <v>413</v>
      </c>
      <c r="C287" t="s">
        <v>396</v>
      </c>
      <c r="D287" t="s">
        <v>324</v>
      </c>
      <c r="E287" t="str">
        <f t="shared" si="28"/>
        <v xml:space="preserve">ΠΕΛΟΠΟΝΝΗΣΟΥ - ΚΟΡΙΝΘΙΩΝ, </v>
      </c>
      <c r="F287" s="225" t="s">
        <v>860</v>
      </c>
      <c r="G287" s="225">
        <v>14228</v>
      </c>
      <c r="H287" t="str">
        <f>IFERROR(INDEX(DimosNaiOxi,MATCH(ΤΚ!E287,DimosNai,0)),"")</f>
        <v/>
      </c>
      <c r="I287" t="str">
        <f>LOOKUP(B287,ΠΕΡΙΦΕΡΕΙΑ!$A$2:$A$14,ΠΕΡΙΦΕΡΕΙΑ!$B$2:$B$14)</f>
        <v>Ολική</v>
      </c>
      <c r="J287">
        <f t="shared" si="32"/>
        <v>286</v>
      </c>
      <c r="K287" s="199">
        <f t="shared" si="29"/>
        <v>319</v>
      </c>
      <c r="L287" t="str">
        <f t="shared" si="30"/>
        <v>ΣΤΕΡΕΑΣ ΕΛΛΑΔΑΣ</v>
      </c>
      <c r="M287" t="str">
        <f t="shared" si="31"/>
        <v>ΣΤΕΡΕΑΣ ΕΛΛΑΔΑΣ - ΜΑΝΤΟΥΔΙΟΥ – ΛΙΜΝΗΣ – ΑΓΙΑΣ ΑΝΝΑΣ</v>
      </c>
      <c r="N287" s="197">
        <f t="shared" si="33"/>
        <v>14278</v>
      </c>
      <c r="O287" s="197" t="str">
        <f t="shared" si="34"/>
        <v>Μαντουδίου - Λίμνης - Αγίας Άννας</v>
      </c>
    </row>
    <row r="288" spans="1:15" x14ac:dyDescent="0.25">
      <c r="A288" s="199">
        <v>287</v>
      </c>
      <c r="B288" t="s">
        <v>413</v>
      </c>
      <c r="C288" t="s">
        <v>396</v>
      </c>
      <c r="D288" t="s">
        <v>325</v>
      </c>
      <c r="E288" t="str">
        <f t="shared" si="28"/>
        <v xml:space="preserve">ΠΕΛΟΠΟΝΝΗΣΟΥ - ΛΟΥΤΡΑΚΙΟΥ – ΑΓΙΩΝ ΘΕΟΔΩΡΩΝ, </v>
      </c>
      <c r="F288" s="225" t="s">
        <v>861</v>
      </c>
      <c r="G288" s="225">
        <v>14262</v>
      </c>
      <c r="H288" t="str">
        <f>IFERROR(INDEX(DimosNaiOxi,MATCH(ΤΚ!E288,DimosNai,0)),"")</f>
        <v/>
      </c>
      <c r="I288" t="str">
        <f>LOOKUP(B288,ΠΕΡΙΦΕΡΕΙΑ!$A$2:$A$14,ΠΕΡΙΦΕΡΕΙΑ!$B$2:$B$14)</f>
        <v>Ολική</v>
      </c>
      <c r="J288">
        <f t="shared" si="32"/>
        <v>287</v>
      </c>
      <c r="K288" s="199">
        <f t="shared" si="29"/>
        <v>320</v>
      </c>
      <c r="L288" t="str">
        <f t="shared" si="30"/>
        <v>ΣΤΕΡΕΑΣ ΕΛΛΑΔΑΣ</v>
      </c>
      <c r="M288" t="str">
        <f t="shared" si="31"/>
        <v>ΣΤΕΡΕΑΣ ΕΛΛΑΔΑΣ - ΜΩΛΟΥ – ΑΓΙΟΥ ΚΩΝΣΤΑΝΤΙΝΟΥ</v>
      </c>
      <c r="N288" s="197">
        <f t="shared" si="33"/>
        <v>14272</v>
      </c>
      <c r="O288" s="197" t="str">
        <f t="shared" si="34"/>
        <v>Μώλου - Αγ. Κωνσταντίνου</v>
      </c>
    </row>
    <row r="289" spans="1:15" x14ac:dyDescent="0.25">
      <c r="A289" s="199">
        <v>288</v>
      </c>
      <c r="B289" t="s">
        <v>413</v>
      </c>
      <c r="C289" t="s">
        <v>395</v>
      </c>
      <c r="D289" t="s">
        <v>320</v>
      </c>
      <c r="E289" t="str">
        <f t="shared" si="28"/>
        <v xml:space="preserve">ΠΕΛΟΠΟΝΝΗΣΟΥ - ΜΕΓΑΛΟΠΟΛΗΣ, </v>
      </c>
      <c r="F289" s="225" t="s">
        <v>862</v>
      </c>
      <c r="G289" s="225">
        <v>14288</v>
      </c>
      <c r="H289" t="str">
        <f>IFERROR(INDEX(DimosNaiOxi,MATCH(ΤΚ!E289,DimosNai,0)),"")</f>
        <v/>
      </c>
      <c r="I289" t="str">
        <f>LOOKUP(B289,ΠΕΡΙΦΕΡΕΙΑ!$A$2:$A$14,ΠΕΡΙΦΕΡΕΙΑ!$B$2:$B$14)</f>
        <v>Ολική</v>
      </c>
      <c r="J289">
        <f t="shared" si="32"/>
        <v>288</v>
      </c>
      <c r="K289" s="199">
        <f t="shared" si="29"/>
        <v>321</v>
      </c>
      <c r="L289" t="str">
        <f t="shared" si="30"/>
        <v>ΣΤΕΡΕΑΣ ΕΛΛΑΔΑΣ</v>
      </c>
      <c r="M289" t="str">
        <f t="shared" si="31"/>
        <v>ΣΤΕΡΕΑΣ ΕΛΛΑΔΑΣ - ΟΡΧΟΜΕΝΟΥ</v>
      </c>
      <c r="N289" s="197">
        <f t="shared" si="33"/>
        <v>14362</v>
      </c>
      <c r="O289" s="197" t="str">
        <f t="shared" si="34"/>
        <v>Ορχομενού</v>
      </c>
    </row>
    <row r="290" spans="1:15" x14ac:dyDescent="0.25">
      <c r="A290" s="199">
        <v>289</v>
      </c>
      <c r="B290" t="s">
        <v>413</v>
      </c>
      <c r="C290" t="s">
        <v>398</v>
      </c>
      <c r="D290" t="s">
        <v>336</v>
      </c>
      <c r="E290" t="str">
        <f t="shared" si="28"/>
        <v xml:space="preserve">ΠΕΛΟΠΟΝΝΗΣΟΥ - ΜΕΣΣΗΝΗΣ, </v>
      </c>
      <c r="F290" s="225" t="s">
        <v>863</v>
      </c>
      <c r="G290" s="225">
        <v>14294</v>
      </c>
      <c r="H290" t="str">
        <f>IFERROR(INDEX(DimosNaiOxi,MATCH(ΤΚ!E290,DimosNai,0)),"")</f>
        <v/>
      </c>
      <c r="I290" t="str">
        <f>LOOKUP(B290,ΠΕΡΙΦΕΡΕΙΑ!$A$2:$A$14,ΠΕΡΙΦΕΡΕΙΑ!$B$2:$B$14)</f>
        <v>Ολική</v>
      </c>
      <c r="J290">
        <f t="shared" si="32"/>
        <v>289</v>
      </c>
      <c r="K290" s="199">
        <f t="shared" si="29"/>
        <v>322</v>
      </c>
      <c r="L290" t="str">
        <f t="shared" si="30"/>
        <v>ΣΤΕΡΕΑΣ ΕΛΛΑΔΑΣ</v>
      </c>
      <c r="M290" t="str">
        <f t="shared" si="31"/>
        <v>ΣΤΕΡΕΑΣ ΕΛΛΑΔΑΣ - ΣΚΥΡΟΥ</v>
      </c>
      <c r="N290" s="197">
        <f t="shared" si="33"/>
        <v>14470</v>
      </c>
      <c r="O290" s="197" t="str">
        <f t="shared" si="34"/>
        <v>Σκύρου</v>
      </c>
    </row>
    <row r="291" spans="1:15" x14ac:dyDescent="0.25">
      <c r="A291" s="199">
        <v>290</v>
      </c>
      <c r="B291" t="s">
        <v>413</v>
      </c>
      <c r="C291" t="s">
        <v>397</v>
      </c>
      <c r="D291" t="s">
        <v>332</v>
      </c>
      <c r="E291" t="str">
        <f t="shared" si="28"/>
        <v xml:space="preserve">ΠΕΛΟΠΟΝΝΗΣΟΥ - ΜΟΝΕΜΒΑΣΙΑΣ, </v>
      </c>
      <c r="F291" s="225" t="s">
        <v>864</v>
      </c>
      <c r="G291" s="225">
        <v>14302</v>
      </c>
      <c r="H291" t="str">
        <f>IFERROR(INDEX(DimosNaiOxi,MATCH(ΤΚ!E291,DimosNai,0)),"")</f>
        <v/>
      </c>
      <c r="I291" t="str">
        <f>LOOKUP(B291,ΠΕΡΙΦΕΡΕΙΑ!$A$2:$A$14,ΠΕΡΙΦΕΡΕΙΑ!$B$2:$B$14)</f>
        <v>Ολική</v>
      </c>
      <c r="J291">
        <f t="shared" si="32"/>
        <v>290</v>
      </c>
      <c r="K291" s="199">
        <f t="shared" si="29"/>
        <v>323</v>
      </c>
      <c r="L291" t="str">
        <f t="shared" si="30"/>
        <v>ΣΤΕΡΕΑΣ ΕΛΛΑΔΑΣ</v>
      </c>
      <c r="M291" t="str">
        <f t="shared" si="31"/>
        <v>ΣΤΕΡΕΑΣ ΕΛΛΑΔΑΣ - ΣΤΥΛΙΔΟΣ</v>
      </c>
      <c r="N291" s="197">
        <f t="shared" si="33"/>
        <v>14488</v>
      </c>
      <c r="O291" s="197" t="str">
        <f t="shared" si="34"/>
        <v>Στυλίδας</v>
      </c>
    </row>
    <row r="292" spans="1:15" x14ac:dyDescent="0.25">
      <c r="A292" s="199">
        <v>291</v>
      </c>
      <c r="B292" t="s">
        <v>413</v>
      </c>
      <c r="C292" t="s">
        <v>394</v>
      </c>
      <c r="D292" t="s">
        <v>317</v>
      </c>
      <c r="E292" t="str">
        <f t="shared" si="28"/>
        <v xml:space="preserve">ΠΕΛΟΠΟΝΝΗΣΟΥ - ΝΑΥΠΛΙΕΩΝ, </v>
      </c>
      <c r="F292" s="225" t="s">
        <v>865</v>
      </c>
      <c r="G292" s="225">
        <v>14334</v>
      </c>
      <c r="H292" t="str">
        <f>IFERROR(INDEX(DimosNaiOxi,MATCH(ΤΚ!E292,DimosNai,0)),"")</f>
        <v/>
      </c>
      <c r="I292" t="str">
        <f>LOOKUP(B292,ΠΕΡΙΦΕΡΕΙΑ!$A$2:$A$14,ΠΕΡΙΦΕΡΕΙΑ!$B$2:$B$14)</f>
        <v>Ολική</v>
      </c>
      <c r="J292">
        <f t="shared" si="32"/>
        <v>291</v>
      </c>
      <c r="K292" s="199">
        <f t="shared" si="29"/>
        <v>324</v>
      </c>
      <c r="L292" t="str">
        <f t="shared" si="30"/>
        <v>ΣΤΕΡΕΑΣ ΕΛΛΑΔΑΣ</v>
      </c>
      <c r="M292" t="str">
        <f t="shared" si="31"/>
        <v>ΣΤΕΡΕΑΣ ΕΛΛΑΔΑΣ - ΤΑΝΑΓΡΑΣ</v>
      </c>
      <c r="N292" s="197">
        <f t="shared" si="33"/>
        <v>14496</v>
      </c>
      <c r="O292" s="197" t="str">
        <f t="shared" si="34"/>
        <v>Τανάγρας</v>
      </c>
    </row>
    <row r="293" spans="1:15" x14ac:dyDescent="0.25">
      <c r="A293" s="199">
        <v>292</v>
      </c>
      <c r="B293" t="s">
        <v>413</v>
      </c>
      <c r="C293" t="s">
        <v>396</v>
      </c>
      <c r="D293" t="s">
        <v>326</v>
      </c>
      <c r="E293" t="str">
        <f t="shared" si="28"/>
        <v xml:space="preserve">ΠΕΛΟΠΟΝΝΗΣΟΥ - ΝΕΜΕΑΣ, </v>
      </c>
      <c r="F293" s="225" t="s">
        <v>866</v>
      </c>
      <c r="G293" s="225">
        <v>14336</v>
      </c>
      <c r="H293" t="str">
        <f>IFERROR(INDEX(DimosNaiOxi,MATCH(ΤΚ!E293,DimosNai,0)),"")</f>
        <v/>
      </c>
      <c r="I293" t="str">
        <f>LOOKUP(B293,ΠΕΡΙΦΕΡΕΙΑ!$A$2:$A$14,ΠΕΡΙΦΕΡΕΙΑ!$B$2:$B$14)</f>
        <v>Ολική</v>
      </c>
      <c r="J293">
        <f t="shared" si="32"/>
        <v>292</v>
      </c>
      <c r="K293" s="199">
        <f t="shared" si="29"/>
        <v>325</v>
      </c>
      <c r="L293" t="str">
        <f t="shared" si="30"/>
        <v>ΣΤΕΡΕΑΣ ΕΛΛΑΔΑΣ</v>
      </c>
      <c r="M293" t="str">
        <f t="shared" si="31"/>
        <v>ΣΤΕΡΕΑΣ ΕΛΛΑΔΑΣ - ΧΑΛΚΙΔΕΩΝ</v>
      </c>
      <c r="N293" s="197">
        <f t="shared" si="33"/>
        <v>14540</v>
      </c>
      <c r="O293" s="197" t="str">
        <f t="shared" si="34"/>
        <v>Χαλκιδέων</v>
      </c>
    </row>
    <row r="294" spans="1:15" x14ac:dyDescent="0.25">
      <c r="A294" s="199">
        <v>293</v>
      </c>
      <c r="B294" t="s">
        <v>413</v>
      </c>
      <c r="C294" t="s">
        <v>395</v>
      </c>
      <c r="D294" t="s">
        <v>321</v>
      </c>
      <c r="E294" t="str">
        <f t="shared" si="28"/>
        <v xml:space="preserve">ΠΕΛΟΠΟΝΝΗΣΟΥ - ΝΟΤΙΑΣ ΚΥΝΟΥΡΙΑΣ, </v>
      </c>
      <c r="F294" s="225" t="s">
        <v>867</v>
      </c>
      <c r="G294" s="225">
        <v>14330</v>
      </c>
      <c r="H294" t="str">
        <f>IFERROR(INDEX(DimosNaiOxi,MATCH(ΤΚ!E294,DimosNai,0)),"")</f>
        <v/>
      </c>
      <c r="I294" t="str">
        <f>LOOKUP(B294,ΠΕΡΙΦΕΡΕΙΑ!$A$2:$A$14,ΠΕΡΙΦΕΡΕΙΑ!$B$2:$B$14)</f>
        <v>Ολική</v>
      </c>
      <c r="J294">
        <f t="shared" si="32"/>
        <v>293</v>
      </c>
      <c r="K294" s="199" t="e">
        <f t="shared" si="29"/>
        <v>#NUM!</v>
      </c>
      <c r="L294" t="str">
        <f t="shared" si="30"/>
        <v/>
      </c>
      <c r="M294" t="str">
        <f t="shared" si="31"/>
        <v/>
      </c>
      <c r="N294" s="197" t="str">
        <f t="shared" si="33"/>
        <v/>
      </c>
      <c r="O294" s="197" t="str">
        <f t="shared" si="34"/>
        <v/>
      </c>
    </row>
    <row r="295" spans="1:15" x14ac:dyDescent="0.25">
      <c r="A295" s="199">
        <v>294</v>
      </c>
      <c r="B295" t="s">
        <v>413</v>
      </c>
      <c r="C295" t="s">
        <v>396</v>
      </c>
      <c r="D295" t="s">
        <v>327</v>
      </c>
      <c r="E295" t="str">
        <f t="shared" si="28"/>
        <v xml:space="preserve">ΠΕΛΟΠΟΝΝΗΣΟΥ - ΞΥΛΟΚΑΣΤΡΟΥ – ΕΥΡΩΣΤΙΝΗΣ, </v>
      </c>
      <c r="F295" s="225" t="s">
        <v>868</v>
      </c>
      <c r="G295" s="225">
        <v>14350</v>
      </c>
      <c r="H295" t="str">
        <f>IFERROR(INDEX(DimosNaiOxi,MATCH(ΤΚ!E295,DimosNai,0)),"")</f>
        <v/>
      </c>
      <c r="I295" t="str">
        <f>LOOKUP(B295,ΠΕΡΙΦΕΡΕΙΑ!$A$2:$A$14,ΠΕΡΙΦΕΡΕΙΑ!$B$2:$B$14)</f>
        <v>Ολική</v>
      </c>
      <c r="J295">
        <f t="shared" si="32"/>
        <v>294</v>
      </c>
      <c r="K295" s="199" t="e">
        <f t="shared" si="29"/>
        <v>#NUM!</v>
      </c>
      <c r="L295" t="str">
        <f t="shared" si="30"/>
        <v/>
      </c>
      <c r="M295" t="str">
        <f t="shared" si="31"/>
        <v/>
      </c>
      <c r="N295" s="197" t="str">
        <f t="shared" si="33"/>
        <v/>
      </c>
      <c r="O295" s="197" t="str">
        <f t="shared" si="34"/>
        <v/>
      </c>
    </row>
    <row r="296" spans="1:15" x14ac:dyDescent="0.25">
      <c r="A296" s="199">
        <v>295</v>
      </c>
      <c r="B296" t="s">
        <v>413</v>
      </c>
      <c r="C296" t="s">
        <v>398</v>
      </c>
      <c r="D296" t="s">
        <v>337</v>
      </c>
      <c r="E296" t="str">
        <f t="shared" si="28"/>
        <v xml:space="preserve">ΠΕΛΟΠΟΝΝΗΣΟΥ - ΟΙΧΑΛΙΑΣ, </v>
      </c>
      <c r="F296" s="225" t="s">
        <v>869</v>
      </c>
      <c r="G296" s="225">
        <v>14354</v>
      </c>
      <c r="H296" t="str">
        <f>IFERROR(INDEX(DimosNaiOxi,MATCH(ΤΚ!E296,DimosNai,0)),"")</f>
        <v/>
      </c>
      <c r="I296" t="str">
        <f>LOOKUP(B296,ΠΕΡΙΦΕΡΕΙΑ!$A$2:$A$14,ΠΕΡΙΦΕΡΕΙΑ!$B$2:$B$14)</f>
        <v>Ολική</v>
      </c>
      <c r="J296">
        <f t="shared" si="32"/>
        <v>295</v>
      </c>
      <c r="K296" s="199" t="e">
        <f t="shared" si="29"/>
        <v>#NUM!</v>
      </c>
      <c r="L296" t="str">
        <f t="shared" si="30"/>
        <v/>
      </c>
      <c r="M296" t="str">
        <f t="shared" si="31"/>
        <v/>
      </c>
      <c r="N296" s="197" t="str">
        <f t="shared" si="33"/>
        <v/>
      </c>
      <c r="O296" s="197" t="str">
        <f t="shared" si="34"/>
        <v/>
      </c>
    </row>
    <row r="297" spans="1:15" x14ac:dyDescent="0.25">
      <c r="A297" s="199">
        <v>296</v>
      </c>
      <c r="B297" t="s">
        <v>413</v>
      </c>
      <c r="C297" t="s">
        <v>398</v>
      </c>
      <c r="D297" t="s">
        <v>338</v>
      </c>
      <c r="E297" t="str">
        <f t="shared" si="28"/>
        <v xml:space="preserve">ΠΕΛΟΠΟΝΝΗΣΟΥ - ΠΥΛΟΥ – ΝΕΣΤΟΡΟΣ, </v>
      </c>
      <c r="F297" s="225" t="s">
        <v>870</v>
      </c>
      <c r="G297" s="225">
        <v>14378</v>
      </c>
      <c r="H297" t="str">
        <f>IFERROR(INDEX(DimosNaiOxi,MATCH(ΤΚ!E297,DimosNai,0)),"")</f>
        <v/>
      </c>
      <c r="I297" t="str">
        <f>LOOKUP(B297,ΠΕΡΙΦΕΡΕΙΑ!$A$2:$A$14,ΠΕΡΙΦΕΡΕΙΑ!$B$2:$B$14)</f>
        <v>Ολική</v>
      </c>
      <c r="J297">
        <f t="shared" si="32"/>
        <v>296</v>
      </c>
      <c r="K297" s="199" t="e">
        <f t="shared" si="29"/>
        <v>#NUM!</v>
      </c>
      <c r="L297" t="str">
        <f t="shared" si="30"/>
        <v/>
      </c>
      <c r="M297" t="str">
        <f t="shared" si="31"/>
        <v/>
      </c>
      <c r="N297" s="197" t="str">
        <f t="shared" si="33"/>
        <v/>
      </c>
      <c r="O297" s="197" t="str">
        <f t="shared" si="34"/>
        <v/>
      </c>
    </row>
    <row r="298" spans="1:15" x14ac:dyDescent="0.25">
      <c r="A298" s="199">
        <v>297</v>
      </c>
      <c r="B298" t="s">
        <v>413</v>
      </c>
      <c r="C298" t="s">
        <v>396</v>
      </c>
      <c r="D298" t="s">
        <v>328</v>
      </c>
      <c r="E298" t="str">
        <f t="shared" si="28"/>
        <v xml:space="preserve">ΠΕΛΟΠΟΝΝΗΣΟΥ - ΣΙΚΥΩΝΙΩΝ, </v>
      </c>
      <c r="F298" s="225" t="s">
        <v>871</v>
      </c>
      <c r="G298" s="225">
        <v>14464</v>
      </c>
      <c r="H298" t="str">
        <f>IFERROR(INDEX(DimosNaiOxi,MATCH(ΤΚ!E298,DimosNai,0)),"")</f>
        <v/>
      </c>
      <c r="I298" t="str">
        <f>LOOKUP(B298,ΠΕΡΙΦΕΡΕΙΑ!$A$2:$A$14,ΠΕΡΙΦΕΡΕΙΑ!$B$2:$B$14)</f>
        <v>Ολική</v>
      </c>
      <c r="J298">
        <f t="shared" si="32"/>
        <v>297</v>
      </c>
      <c r="K298" s="199" t="e">
        <f t="shared" si="29"/>
        <v>#NUM!</v>
      </c>
      <c r="L298" t="str">
        <f t="shared" si="30"/>
        <v/>
      </c>
      <c r="M298" t="str">
        <f t="shared" si="31"/>
        <v/>
      </c>
      <c r="N298" s="197" t="str">
        <f t="shared" si="33"/>
        <v/>
      </c>
      <c r="O298" s="197" t="str">
        <f t="shared" si="34"/>
        <v/>
      </c>
    </row>
    <row r="299" spans="1:15" x14ac:dyDescent="0.25">
      <c r="A299" s="199">
        <v>298</v>
      </c>
      <c r="B299" t="s">
        <v>413</v>
      </c>
      <c r="C299" t="s">
        <v>397</v>
      </c>
      <c r="D299" t="s">
        <v>333</v>
      </c>
      <c r="E299" t="str">
        <f t="shared" si="28"/>
        <v xml:space="preserve">ΠΕΛΟΠΟΝΝΗΣΟΥ - ΣΠΑΡΤΗΣ, </v>
      </c>
      <c r="F299" s="225" t="s">
        <v>872</v>
      </c>
      <c r="G299" s="225">
        <v>14482</v>
      </c>
      <c r="H299" t="str">
        <f>IFERROR(INDEX(DimosNaiOxi,MATCH(ΤΚ!E299,DimosNai,0)),"")</f>
        <v/>
      </c>
      <c r="I299" t="str">
        <f>LOOKUP(B299,ΠΕΡΙΦΕΡΕΙΑ!$A$2:$A$14,ΠΕΡΙΦΕΡΕΙΑ!$B$2:$B$14)</f>
        <v>Ολική</v>
      </c>
      <c r="J299">
        <f t="shared" si="32"/>
        <v>298</v>
      </c>
      <c r="K299" s="199" t="e">
        <f t="shared" si="29"/>
        <v>#NUM!</v>
      </c>
      <c r="L299" t="str">
        <f t="shared" si="30"/>
        <v/>
      </c>
      <c r="M299" t="str">
        <f t="shared" si="31"/>
        <v/>
      </c>
      <c r="N299" s="197" t="str">
        <f t="shared" si="33"/>
        <v/>
      </c>
      <c r="O299" s="197" t="str">
        <f t="shared" si="34"/>
        <v/>
      </c>
    </row>
    <row r="300" spans="1:15" x14ac:dyDescent="0.25">
      <c r="A300" s="199">
        <v>299</v>
      </c>
      <c r="B300" t="s">
        <v>413</v>
      </c>
      <c r="C300" t="s">
        <v>395</v>
      </c>
      <c r="D300" t="s">
        <v>322</v>
      </c>
      <c r="E300" t="str">
        <f t="shared" si="28"/>
        <v xml:space="preserve">ΠΕΛΟΠΟΝΝΗΣΟΥ - ΤΡΙΠΟΛΗΣ, </v>
      </c>
      <c r="F300" s="225" t="s">
        <v>873</v>
      </c>
      <c r="G300" s="225">
        <v>14502</v>
      </c>
      <c r="H300" t="str">
        <f>IFERROR(INDEX(DimosNaiOxi,MATCH(ΤΚ!E300,DimosNai,0)),"")</f>
        <v/>
      </c>
      <c r="I300" t="str">
        <f>LOOKUP(B300,ΠΕΡΙΦΕΡΕΙΑ!$A$2:$A$14,ΠΕΡΙΦΕΡΕΙΑ!$B$2:$B$14)</f>
        <v>Ολική</v>
      </c>
      <c r="J300">
        <f t="shared" si="32"/>
        <v>299</v>
      </c>
      <c r="K300" s="199" t="e">
        <f t="shared" si="29"/>
        <v>#NUM!</v>
      </c>
      <c r="L300" t="str">
        <f t="shared" si="30"/>
        <v/>
      </c>
      <c r="M300" t="str">
        <f t="shared" si="31"/>
        <v/>
      </c>
      <c r="N300" s="197" t="str">
        <f t="shared" si="33"/>
        <v/>
      </c>
      <c r="O300" s="197" t="str">
        <f t="shared" si="34"/>
        <v/>
      </c>
    </row>
    <row r="301" spans="1:15" x14ac:dyDescent="0.25">
      <c r="A301" s="199">
        <v>300</v>
      </c>
      <c r="B301" t="s">
        <v>413</v>
      </c>
      <c r="C301" t="s">
        <v>398</v>
      </c>
      <c r="D301" t="s">
        <v>339</v>
      </c>
      <c r="E301" t="str">
        <f t="shared" si="28"/>
        <v xml:space="preserve">ΠΕΛΟΠΟΝΝΗΣΟΥ - ΤΡΙΦΥΛΙΑΣ, </v>
      </c>
      <c r="F301" s="225" t="s">
        <v>874</v>
      </c>
      <c r="G301" s="225">
        <v>14506</v>
      </c>
      <c r="H301" t="str">
        <f>IFERROR(INDEX(DimosNaiOxi,MATCH(ΤΚ!E301,DimosNai,0)),"")</f>
        <v/>
      </c>
      <c r="I301" t="str">
        <f>LOOKUP(B301,ΠΕΡΙΦΕΡΕΙΑ!$A$2:$A$14,ΠΕΡΙΦΕΡΕΙΑ!$B$2:$B$14)</f>
        <v>Ολική</v>
      </c>
      <c r="J301">
        <f t="shared" si="32"/>
        <v>300</v>
      </c>
      <c r="K301" s="199" t="e">
        <f t="shared" si="29"/>
        <v>#NUM!</v>
      </c>
      <c r="L301" t="str">
        <f t="shared" si="30"/>
        <v/>
      </c>
      <c r="M301" t="str">
        <f t="shared" si="31"/>
        <v/>
      </c>
      <c r="N301" s="197" t="str">
        <f t="shared" si="33"/>
        <v/>
      </c>
      <c r="O301" s="197" t="str">
        <f t="shared" si="34"/>
        <v/>
      </c>
    </row>
    <row r="302" spans="1:15" x14ac:dyDescent="0.25">
      <c r="A302" s="199">
        <v>301</v>
      </c>
      <c r="B302" t="s">
        <v>414</v>
      </c>
      <c r="C302" t="s">
        <v>401</v>
      </c>
      <c r="D302" t="s">
        <v>354</v>
      </c>
      <c r="E302" t="str">
        <f t="shared" si="28"/>
        <v xml:space="preserve">ΣΤΕΡΕΑΣ ΕΛΛΑΔΑΣ - ΑΓΡΑΦΩΝ, </v>
      </c>
      <c r="F302" s="225" t="s">
        <v>875</v>
      </c>
      <c r="G302" s="225">
        <v>13942</v>
      </c>
      <c r="H302" t="str">
        <f>IFERROR(INDEX(DimosNaiOxi,MATCH(ΤΚ!E302,DimosNai,0)),"")</f>
        <v/>
      </c>
      <c r="I302" t="str">
        <f>LOOKUP(B302,ΠΕΡΙΦΕΡΕΙΑ!$A$2:$A$14,ΠΕΡΙΦΕΡΕΙΑ!$B$2:$B$14)</f>
        <v>Ολική</v>
      </c>
      <c r="J302">
        <f t="shared" si="32"/>
        <v>301</v>
      </c>
      <c r="K302" s="199" t="e">
        <f t="shared" si="29"/>
        <v>#NUM!</v>
      </c>
      <c r="L302" t="str">
        <f t="shared" si="30"/>
        <v/>
      </c>
      <c r="M302" t="str">
        <f t="shared" si="31"/>
        <v/>
      </c>
      <c r="N302" s="197" t="str">
        <f t="shared" si="33"/>
        <v/>
      </c>
      <c r="O302" s="197" t="str">
        <f t="shared" si="34"/>
        <v/>
      </c>
    </row>
    <row r="303" spans="1:15" x14ac:dyDescent="0.25">
      <c r="A303" s="199">
        <v>302</v>
      </c>
      <c r="B303" t="s">
        <v>414</v>
      </c>
      <c r="C303" t="s">
        <v>399</v>
      </c>
      <c r="D303" t="s">
        <v>340</v>
      </c>
      <c r="E303" t="str">
        <f t="shared" si="28"/>
        <v xml:space="preserve">ΣΤΕΡΕΑΣ ΕΛΛΑΔΑΣ - ΑΛΙΑΡΤΟΥ, </v>
      </c>
      <c r="F303" s="225" t="s">
        <v>876</v>
      </c>
      <c r="G303" s="225">
        <v>13958</v>
      </c>
      <c r="H303" t="str">
        <f>IFERROR(INDEX(DimosNaiOxi,MATCH(ΤΚ!E303,DimosNai,0)),"")</f>
        <v/>
      </c>
      <c r="I303" t="str">
        <f>LOOKUP(B303,ΠΕΡΙΦΕΡΕΙΑ!$A$2:$A$14,ΠΕΡΙΦΕΡΕΙΑ!$B$2:$B$14)</f>
        <v>Ολική</v>
      </c>
      <c r="J303">
        <f t="shared" si="32"/>
        <v>302</v>
      </c>
      <c r="K303" s="199" t="e">
        <f t="shared" si="29"/>
        <v>#NUM!</v>
      </c>
      <c r="L303" t="str">
        <f t="shared" si="30"/>
        <v/>
      </c>
      <c r="M303" t="str">
        <f t="shared" si="31"/>
        <v/>
      </c>
      <c r="N303" s="197" t="str">
        <f t="shared" si="33"/>
        <v/>
      </c>
      <c r="O303" s="197" t="str">
        <f t="shared" si="34"/>
        <v/>
      </c>
    </row>
    <row r="304" spans="1:15" x14ac:dyDescent="0.25">
      <c r="A304" s="199">
        <v>303</v>
      </c>
      <c r="B304" t="s">
        <v>414</v>
      </c>
      <c r="C304" t="s">
        <v>402</v>
      </c>
      <c r="D304" t="s">
        <v>356</v>
      </c>
      <c r="E304" t="str">
        <f t="shared" si="28"/>
        <v xml:space="preserve">ΣΤΕΡΕΑΣ ΕΛΛΑΔΑΣ - ΑΜΦΙΚΛΕΙΑΣ – ΕΛΑΤΕΙΑΣ, </v>
      </c>
      <c r="F304" s="225" t="s">
        <v>877</v>
      </c>
      <c r="G304" s="225">
        <v>13976</v>
      </c>
      <c r="H304" t="str">
        <f>IFERROR(INDEX(DimosNaiOxi,MATCH(ΤΚ!E304,DimosNai,0)),"")</f>
        <v/>
      </c>
      <c r="I304" t="str">
        <f>LOOKUP(B304,ΠΕΡΙΦΕΡΕΙΑ!$A$2:$A$14,ΠΕΡΙΦΕΡΕΙΑ!$B$2:$B$14)</f>
        <v>Ολική</v>
      </c>
      <c r="J304">
        <f t="shared" si="32"/>
        <v>303</v>
      </c>
      <c r="K304" s="199" t="e">
        <f t="shared" si="29"/>
        <v>#NUM!</v>
      </c>
      <c r="L304" t="str">
        <f t="shared" si="30"/>
        <v/>
      </c>
      <c r="M304" t="str">
        <f t="shared" si="31"/>
        <v/>
      </c>
      <c r="N304" s="197" t="str">
        <f t="shared" si="33"/>
        <v/>
      </c>
      <c r="O304" s="197" t="str">
        <f t="shared" si="34"/>
        <v/>
      </c>
    </row>
    <row r="305" spans="1:15" x14ac:dyDescent="0.25">
      <c r="A305" s="199">
        <v>304</v>
      </c>
      <c r="B305" t="s">
        <v>414</v>
      </c>
      <c r="C305" t="s">
        <v>403</v>
      </c>
      <c r="D305" t="s">
        <v>363</v>
      </c>
      <c r="E305" t="str">
        <f t="shared" si="28"/>
        <v xml:space="preserve">ΣΤΕΡΕΑΣ ΕΛΛΑΔΑΣ - ΔΕΛΦΩΝ, </v>
      </c>
      <c r="F305" s="225" t="s">
        <v>878</v>
      </c>
      <c r="G305" s="225">
        <v>14058</v>
      </c>
      <c r="H305" t="str">
        <f>IFERROR(INDEX(DimosNaiOxi,MATCH(ΤΚ!E305,DimosNai,0)),"")</f>
        <v/>
      </c>
      <c r="I305" t="str">
        <f>LOOKUP(B305,ΠΕΡΙΦΕΡΕΙΑ!$A$2:$A$14,ΠΕΡΙΦΕΡΕΙΑ!$B$2:$B$14)</f>
        <v>Ολική</v>
      </c>
      <c r="J305">
        <f t="shared" si="32"/>
        <v>304</v>
      </c>
      <c r="K305" s="199" t="e">
        <f t="shared" si="29"/>
        <v>#NUM!</v>
      </c>
      <c r="L305" t="str">
        <f t="shared" si="30"/>
        <v/>
      </c>
      <c r="M305" t="str">
        <f t="shared" si="31"/>
        <v/>
      </c>
      <c r="N305" s="197" t="str">
        <f t="shared" si="33"/>
        <v/>
      </c>
      <c r="O305" s="197" t="str">
        <f t="shared" si="34"/>
        <v/>
      </c>
    </row>
    <row r="306" spans="1:15" x14ac:dyDescent="0.25">
      <c r="A306" s="199">
        <v>305</v>
      </c>
      <c r="B306" t="s">
        <v>414</v>
      </c>
      <c r="C306" t="s">
        <v>400</v>
      </c>
      <c r="D306" t="s">
        <v>346</v>
      </c>
      <c r="E306" t="str">
        <f t="shared" si="28"/>
        <v xml:space="preserve">ΣΤΕΡΕΑΣ ΕΛΛΑΔΑΣ - ΔΙΡΦΥΩΝ – ΜΕΣΣΑΠΙΩΝ, </v>
      </c>
      <c r="F306" s="225" t="s">
        <v>879</v>
      </c>
      <c r="G306" s="225">
        <v>14066</v>
      </c>
      <c r="H306" t="str">
        <f>IFERROR(INDEX(DimosNaiOxi,MATCH(ΤΚ!E306,DimosNai,0)),"")</f>
        <v/>
      </c>
      <c r="I306" t="str">
        <f>LOOKUP(B306,ΠΕΡΙΦΕΡΕΙΑ!$A$2:$A$14,ΠΕΡΙΦΕΡΕΙΑ!$B$2:$B$14)</f>
        <v>Ολική</v>
      </c>
      <c r="J306">
        <f t="shared" si="32"/>
        <v>305</v>
      </c>
      <c r="K306" s="199" t="e">
        <f t="shared" si="29"/>
        <v>#NUM!</v>
      </c>
      <c r="L306" t="str">
        <f t="shared" si="30"/>
        <v/>
      </c>
      <c r="M306" t="str">
        <f t="shared" si="31"/>
        <v/>
      </c>
      <c r="N306" s="197" t="str">
        <f t="shared" si="33"/>
        <v/>
      </c>
      <c r="O306" s="197" t="str">
        <f t="shared" si="34"/>
        <v/>
      </c>
    </row>
    <row r="307" spans="1:15" x14ac:dyDescent="0.25">
      <c r="A307" s="199">
        <v>306</v>
      </c>
      <c r="B307" t="s">
        <v>414</v>
      </c>
      <c r="C307" t="s">
        <v>399</v>
      </c>
      <c r="D307" t="s">
        <v>341</v>
      </c>
      <c r="E307" t="str">
        <f t="shared" si="28"/>
        <v xml:space="preserve">ΣΤΕΡΕΑΣ ΕΛΛΑΔΑΣ - ΔΙΣΤΟΜΟΥ – ΑΡΑΧΟΒΑΣ – ΑΝΤΙΚΥΡΑΣ, </v>
      </c>
      <c r="F307" s="225" t="s">
        <v>880</v>
      </c>
      <c r="G307" s="225">
        <v>14068</v>
      </c>
      <c r="H307" t="str">
        <f>IFERROR(INDEX(DimosNaiOxi,MATCH(ΤΚ!E307,DimosNai,0)),"")</f>
        <v/>
      </c>
      <c r="I307" t="str">
        <f>LOOKUP(B307,ΠΕΡΙΦΕΡΕΙΑ!$A$2:$A$14,ΠΕΡΙΦΕΡΕΙΑ!$B$2:$B$14)</f>
        <v>Ολική</v>
      </c>
      <c r="J307">
        <f t="shared" si="32"/>
        <v>306</v>
      </c>
      <c r="K307" s="199" t="e">
        <f t="shared" si="29"/>
        <v>#NUM!</v>
      </c>
      <c r="L307" t="str">
        <f t="shared" si="30"/>
        <v/>
      </c>
      <c r="M307" t="str">
        <f t="shared" si="31"/>
        <v/>
      </c>
      <c r="N307" s="197" t="str">
        <f t="shared" si="33"/>
        <v/>
      </c>
      <c r="O307" s="197" t="str">
        <f t="shared" si="34"/>
        <v/>
      </c>
    </row>
    <row r="308" spans="1:15" x14ac:dyDescent="0.25">
      <c r="A308" s="199">
        <v>307</v>
      </c>
      <c r="B308" t="s">
        <v>414</v>
      </c>
      <c r="C308" t="s">
        <v>402</v>
      </c>
      <c r="D308" t="s">
        <v>357</v>
      </c>
      <c r="E308" t="str">
        <f t="shared" si="28"/>
        <v xml:space="preserve">ΣΤΕΡΕΑΣ ΕΛΛΑΔΑΣ - ΔΟΜΟΚΟΥ, </v>
      </c>
      <c r="F308" s="225" t="s">
        <v>881</v>
      </c>
      <c r="G308" s="225">
        <v>14070</v>
      </c>
      <c r="H308" t="str">
        <f>IFERROR(INDEX(DimosNaiOxi,MATCH(ΤΚ!E308,DimosNai,0)),"")</f>
        <v/>
      </c>
      <c r="I308" t="str">
        <f>LOOKUP(B308,ΠΕΡΙΦΕΡΕΙΑ!$A$2:$A$14,ΠΕΡΙΦΕΡΕΙΑ!$B$2:$B$14)</f>
        <v>Ολική</v>
      </c>
      <c r="J308">
        <f t="shared" si="32"/>
        <v>307</v>
      </c>
      <c r="K308" s="199" t="e">
        <f t="shared" si="29"/>
        <v>#NUM!</v>
      </c>
      <c r="L308" t="str">
        <f t="shared" si="30"/>
        <v/>
      </c>
      <c r="M308" t="str">
        <f t="shared" si="31"/>
        <v/>
      </c>
      <c r="N308" s="197" t="str">
        <f t="shared" si="33"/>
        <v/>
      </c>
      <c r="O308" s="197" t="str">
        <f t="shared" si="34"/>
        <v/>
      </c>
    </row>
    <row r="309" spans="1:15" x14ac:dyDescent="0.25">
      <c r="A309" s="199">
        <v>308</v>
      </c>
      <c r="B309" t="s">
        <v>414</v>
      </c>
      <c r="C309" t="s">
        <v>403</v>
      </c>
      <c r="D309" t="s">
        <v>364</v>
      </c>
      <c r="E309" t="str">
        <f t="shared" si="28"/>
        <v xml:space="preserve">ΣΤΕΡΕΑΣ ΕΛΛΑΔΑΣ - ΔΩΡΙΔΟΣ, </v>
      </c>
      <c r="F309" s="225" t="s">
        <v>882</v>
      </c>
      <c r="G309" s="225">
        <v>14082</v>
      </c>
      <c r="H309" t="str">
        <f>IFERROR(INDEX(DimosNaiOxi,MATCH(ΤΚ!E309,DimosNai,0)),"")</f>
        <v/>
      </c>
      <c r="I309" t="str">
        <f>LOOKUP(B309,ΠΕΡΙΦΕΡΕΙΑ!$A$2:$A$14,ΠΕΡΙΦΕΡΕΙΑ!$B$2:$B$14)</f>
        <v>Ολική</v>
      </c>
      <c r="J309">
        <f t="shared" si="32"/>
        <v>308</v>
      </c>
      <c r="K309" s="199" t="e">
        <f t="shared" si="29"/>
        <v>#NUM!</v>
      </c>
      <c r="L309" t="str">
        <f t="shared" si="30"/>
        <v/>
      </c>
      <c r="M309" t="str">
        <f t="shared" si="31"/>
        <v/>
      </c>
      <c r="N309" s="197" t="str">
        <f t="shared" si="33"/>
        <v/>
      </c>
      <c r="O309" s="197" t="str">
        <f t="shared" si="34"/>
        <v/>
      </c>
    </row>
    <row r="310" spans="1:15" x14ac:dyDescent="0.25">
      <c r="A310" s="199">
        <v>309</v>
      </c>
      <c r="B310" t="s">
        <v>414</v>
      </c>
      <c r="C310" t="s">
        <v>400</v>
      </c>
      <c r="D310" t="s">
        <v>347</v>
      </c>
      <c r="E310" t="str">
        <f t="shared" si="28"/>
        <v xml:space="preserve">ΣΤΕΡΕΑΣ ΕΛΛΑΔΑΣ - ΕΡΕΤΡΙΑΣ, </v>
      </c>
      <c r="F310" s="225" t="s">
        <v>883</v>
      </c>
      <c r="G310" s="225">
        <v>14098</v>
      </c>
      <c r="H310" t="str">
        <f>IFERROR(INDEX(DimosNaiOxi,MATCH(ΤΚ!E310,DimosNai,0)),"")</f>
        <v/>
      </c>
      <c r="I310" t="str">
        <f>LOOKUP(B310,ΠΕΡΙΦΕΡΕΙΑ!$A$2:$A$14,ΠΕΡΙΦΕΡΕΙΑ!$B$2:$B$14)</f>
        <v>Ολική</v>
      </c>
      <c r="J310">
        <f t="shared" si="32"/>
        <v>309</v>
      </c>
      <c r="K310" s="199" t="e">
        <f t="shared" si="29"/>
        <v>#NUM!</v>
      </c>
      <c r="L310" t="str">
        <f t="shared" si="30"/>
        <v/>
      </c>
      <c r="M310" t="str">
        <f t="shared" si="31"/>
        <v/>
      </c>
      <c r="N310" s="197" t="str">
        <f t="shared" si="33"/>
        <v/>
      </c>
      <c r="O310" s="197" t="str">
        <f t="shared" si="34"/>
        <v/>
      </c>
    </row>
    <row r="311" spans="1:15" x14ac:dyDescent="0.25">
      <c r="A311" s="199">
        <v>310</v>
      </c>
      <c r="B311" t="s">
        <v>414</v>
      </c>
      <c r="C311" t="s">
        <v>399</v>
      </c>
      <c r="D311" t="s">
        <v>342</v>
      </c>
      <c r="E311" t="str">
        <f t="shared" si="28"/>
        <v xml:space="preserve">ΣΤΕΡΕΑΣ ΕΛΛΑΔΑΣ - ΘΗΒΑΙΩΝ, </v>
      </c>
      <c r="F311" s="225" t="s">
        <v>884</v>
      </c>
      <c r="G311" s="225">
        <v>14140</v>
      </c>
      <c r="H311" t="str">
        <f>IFERROR(INDEX(DimosNaiOxi,MATCH(ΤΚ!E311,DimosNai,0)),"")</f>
        <v/>
      </c>
      <c r="I311" t="str">
        <f>LOOKUP(B311,ΠΕΡΙΦΕΡΕΙΑ!$A$2:$A$14,ΠΕΡΙΦΕΡΕΙΑ!$B$2:$B$14)</f>
        <v>Ολική</v>
      </c>
      <c r="J311">
        <f t="shared" si="32"/>
        <v>310</v>
      </c>
      <c r="K311" s="199" t="e">
        <f t="shared" si="29"/>
        <v>#NUM!</v>
      </c>
      <c r="L311" t="str">
        <f t="shared" si="30"/>
        <v/>
      </c>
      <c r="M311" t="str">
        <f t="shared" si="31"/>
        <v/>
      </c>
      <c r="N311" s="197" t="str">
        <f t="shared" si="33"/>
        <v/>
      </c>
      <c r="O311" s="197" t="str">
        <f t="shared" si="34"/>
        <v/>
      </c>
    </row>
    <row r="312" spans="1:15" x14ac:dyDescent="0.25">
      <c r="A312" s="199">
        <v>311</v>
      </c>
      <c r="B312" t="s">
        <v>414</v>
      </c>
      <c r="C312" t="s">
        <v>400</v>
      </c>
      <c r="D312" t="s">
        <v>348</v>
      </c>
      <c r="E312" t="str">
        <f t="shared" si="28"/>
        <v xml:space="preserve">ΣΤΕΡΕΑΣ ΕΛΛΑΔΑΣ - ΙΣΤΙΑΙΑΣ – ΑΙΔΗΨΟΥ, </v>
      </c>
      <c r="F312" s="225" t="s">
        <v>885</v>
      </c>
      <c r="G312" s="225">
        <v>14156</v>
      </c>
      <c r="H312" t="str">
        <f>IFERROR(INDEX(DimosNaiOxi,MATCH(ΤΚ!E312,DimosNai,0)),"")</f>
        <v/>
      </c>
      <c r="I312" t="str">
        <f>LOOKUP(B312,ΠΕΡΙΦΕΡΕΙΑ!$A$2:$A$14,ΠΕΡΙΦΕΡΕΙΑ!$B$2:$B$14)</f>
        <v>Ολική</v>
      </c>
      <c r="J312">
        <f t="shared" si="32"/>
        <v>311</v>
      </c>
      <c r="K312" s="199" t="e">
        <f t="shared" si="29"/>
        <v>#NUM!</v>
      </c>
      <c r="L312" t="str">
        <f t="shared" si="30"/>
        <v/>
      </c>
      <c r="M312" t="str">
        <f t="shared" si="31"/>
        <v/>
      </c>
      <c r="N312" s="197" t="str">
        <f t="shared" si="33"/>
        <v/>
      </c>
      <c r="O312" s="197" t="str">
        <f t="shared" si="34"/>
        <v/>
      </c>
    </row>
    <row r="313" spans="1:15" x14ac:dyDescent="0.25">
      <c r="A313" s="199">
        <v>312</v>
      </c>
      <c r="B313" t="s">
        <v>414</v>
      </c>
      <c r="C313" t="s">
        <v>401</v>
      </c>
      <c r="D313" t="s">
        <v>355</v>
      </c>
      <c r="E313" t="str">
        <f t="shared" si="28"/>
        <v xml:space="preserve">ΣΤΕΡΕΑΣ ΕΛΛΑΔΑΣ - ΚΑΡΠΕΝΗΣΙΟΥ, </v>
      </c>
      <c r="F313" s="225" t="s">
        <v>886</v>
      </c>
      <c r="G313" s="225">
        <v>14198</v>
      </c>
      <c r="H313" t="str">
        <f>IFERROR(INDEX(DimosNaiOxi,MATCH(ΤΚ!E313,DimosNai,0)),"")</f>
        <v/>
      </c>
      <c r="I313" t="str">
        <f>LOOKUP(B313,ΠΕΡΙΦΕΡΕΙΑ!$A$2:$A$14,ΠΕΡΙΦΕΡΕΙΑ!$B$2:$B$14)</f>
        <v>Ολική</v>
      </c>
      <c r="J313">
        <f t="shared" si="32"/>
        <v>312</v>
      </c>
      <c r="K313" s="199" t="e">
        <f t="shared" si="29"/>
        <v>#NUM!</v>
      </c>
      <c r="L313" t="str">
        <f t="shared" si="30"/>
        <v/>
      </c>
      <c r="M313" t="str">
        <f t="shared" si="31"/>
        <v/>
      </c>
      <c r="N313" s="197" t="str">
        <f t="shared" si="33"/>
        <v/>
      </c>
      <c r="O313" s="197" t="str">
        <f t="shared" si="34"/>
        <v/>
      </c>
    </row>
    <row r="314" spans="1:15" x14ac:dyDescent="0.25">
      <c r="A314" s="199">
        <v>313</v>
      </c>
      <c r="B314" t="s">
        <v>414</v>
      </c>
      <c r="C314" t="s">
        <v>400</v>
      </c>
      <c r="D314" t="s">
        <v>349</v>
      </c>
      <c r="E314" t="str">
        <f t="shared" si="28"/>
        <v xml:space="preserve">ΣΤΕΡΕΑΣ ΕΛΛΑΔΑΣ - ΚΑΡΥΣΤΟΥ, </v>
      </c>
      <c r="F314" s="225" t="s">
        <v>887</v>
      </c>
      <c r="G314" s="225">
        <v>14192</v>
      </c>
      <c r="H314" t="str">
        <f>IFERROR(INDEX(DimosNaiOxi,MATCH(ΤΚ!E314,DimosNai,0)),"")</f>
        <v/>
      </c>
      <c r="I314" t="str">
        <f>LOOKUP(B314,ΠΕΡΙΦΕΡΕΙΑ!$A$2:$A$14,ΠΕΡΙΦΕΡΕΙΑ!$B$2:$B$14)</f>
        <v>Ολική</v>
      </c>
      <c r="J314">
        <f t="shared" si="32"/>
        <v>313</v>
      </c>
      <c r="K314" s="199" t="e">
        <f t="shared" si="29"/>
        <v>#NUM!</v>
      </c>
      <c r="L314" t="str">
        <f t="shared" si="30"/>
        <v/>
      </c>
      <c r="M314" t="str">
        <f t="shared" si="31"/>
        <v/>
      </c>
      <c r="N314" s="197" t="str">
        <f t="shared" si="33"/>
        <v/>
      </c>
      <c r="O314" s="197" t="str">
        <f t="shared" si="34"/>
        <v/>
      </c>
    </row>
    <row r="315" spans="1:15" x14ac:dyDescent="0.25">
      <c r="A315" s="199">
        <v>314</v>
      </c>
      <c r="B315" t="s">
        <v>414</v>
      </c>
      <c r="C315" t="s">
        <v>400</v>
      </c>
      <c r="D315" t="s">
        <v>350</v>
      </c>
      <c r="E315" t="str">
        <f t="shared" si="28"/>
        <v xml:space="preserve">ΣΤΕΡΕΑΣ ΕΛΛΑΔΑΣ - ΚΥΜΗΣ – ΑΛΙΒΕΡΙΟΥ, </v>
      </c>
      <c r="F315" s="225" t="s">
        <v>888</v>
      </c>
      <c r="G315" s="225">
        <v>14172</v>
      </c>
      <c r="H315" t="str">
        <f>IFERROR(INDEX(DimosNaiOxi,MATCH(ΤΚ!E315,DimosNai,0)),"")</f>
        <v/>
      </c>
      <c r="I315" t="str">
        <f>LOOKUP(B315,ΠΕΡΙΦΕΡΕΙΑ!$A$2:$A$14,ΠΕΡΙΦΕΡΕΙΑ!$B$2:$B$14)</f>
        <v>Ολική</v>
      </c>
      <c r="J315">
        <f t="shared" si="32"/>
        <v>314</v>
      </c>
      <c r="K315" s="199" t="e">
        <f t="shared" si="29"/>
        <v>#NUM!</v>
      </c>
      <c r="L315" t="str">
        <f t="shared" si="30"/>
        <v/>
      </c>
      <c r="M315" t="str">
        <f t="shared" si="31"/>
        <v/>
      </c>
      <c r="N315" s="197" t="str">
        <f t="shared" si="33"/>
        <v/>
      </c>
      <c r="O315" s="197" t="str">
        <f t="shared" si="34"/>
        <v/>
      </c>
    </row>
    <row r="316" spans="1:15" x14ac:dyDescent="0.25">
      <c r="A316" s="199">
        <v>315</v>
      </c>
      <c r="B316" t="s">
        <v>414</v>
      </c>
      <c r="C316" t="s">
        <v>402</v>
      </c>
      <c r="D316" t="s">
        <v>358</v>
      </c>
      <c r="E316" t="str">
        <f t="shared" si="28"/>
        <v xml:space="preserve">ΣΤΕΡΕΑΣ ΕΛΛΑΔΑΣ - ΛΑΜΙΕΩΝ, </v>
      </c>
      <c r="F316" s="225" t="s">
        <v>889</v>
      </c>
      <c r="G316" s="225">
        <v>14248</v>
      </c>
      <c r="H316" t="str">
        <f>IFERROR(INDEX(DimosNaiOxi,MATCH(ΤΚ!E316,DimosNai,0)),"")</f>
        <v/>
      </c>
      <c r="I316" t="str">
        <f>LOOKUP(B316,ΠΕΡΙΦΕΡΕΙΑ!$A$2:$A$14,ΠΕΡΙΦΕΡΕΙΑ!$B$2:$B$14)</f>
        <v>Ολική</v>
      </c>
      <c r="J316">
        <f t="shared" si="32"/>
        <v>315</v>
      </c>
      <c r="K316" s="199" t="e">
        <f t="shared" si="29"/>
        <v>#NUM!</v>
      </c>
      <c r="L316" t="str">
        <f t="shared" si="30"/>
        <v/>
      </c>
      <c r="M316" t="str">
        <f t="shared" si="31"/>
        <v/>
      </c>
      <c r="N316" s="197" t="str">
        <f t="shared" si="33"/>
        <v/>
      </c>
      <c r="O316" s="197" t="str">
        <f t="shared" si="34"/>
        <v/>
      </c>
    </row>
    <row r="317" spans="1:15" x14ac:dyDescent="0.25">
      <c r="A317" s="199">
        <v>316</v>
      </c>
      <c r="B317" t="s">
        <v>414</v>
      </c>
      <c r="C317" t="s">
        <v>399</v>
      </c>
      <c r="D317" t="s">
        <v>343</v>
      </c>
      <c r="E317" t="str">
        <f t="shared" si="28"/>
        <v xml:space="preserve">ΣΤΕΡΕΑΣ ΕΛΛΑΔΑΣ - ΛΕΒΑΔΕΩΝ, </v>
      </c>
      <c r="F317" s="225" t="s">
        <v>890</v>
      </c>
      <c r="G317" s="225">
        <v>14254</v>
      </c>
      <c r="H317" t="str">
        <f>IFERROR(INDEX(DimosNaiOxi,MATCH(ΤΚ!E317,DimosNai,0)),"")</f>
        <v/>
      </c>
      <c r="I317" t="str">
        <f>LOOKUP(B317,ΠΕΡΙΦΕΡΕΙΑ!$A$2:$A$14,ΠΕΡΙΦΕΡΕΙΑ!$B$2:$B$14)</f>
        <v>Ολική</v>
      </c>
      <c r="J317">
        <f t="shared" si="32"/>
        <v>316</v>
      </c>
      <c r="K317" s="199" t="e">
        <f t="shared" si="29"/>
        <v>#NUM!</v>
      </c>
      <c r="L317" t="str">
        <f t="shared" si="30"/>
        <v/>
      </c>
      <c r="M317" t="str">
        <f t="shared" si="31"/>
        <v/>
      </c>
      <c r="N317" s="197" t="str">
        <f t="shared" si="33"/>
        <v/>
      </c>
      <c r="O317" s="197" t="str">
        <f t="shared" si="34"/>
        <v/>
      </c>
    </row>
    <row r="318" spans="1:15" x14ac:dyDescent="0.25">
      <c r="A318" s="199">
        <v>317</v>
      </c>
      <c r="B318" t="s">
        <v>414</v>
      </c>
      <c r="C318" t="s">
        <v>402</v>
      </c>
      <c r="D318" t="s">
        <v>359</v>
      </c>
      <c r="E318" t="str">
        <f t="shared" si="28"/>
        <v xml:space="preserve">ΣΤΕΡΕΑΣ ΕΛΛΑΔΑΣ - ΛΟΚΡΩΝ, </v>
      </c>
      <c r="F318" s="225" t="s">
        <v>891</v>
      </c>
      <c r="G318" s="225">
        <v>14260</v>
      </c>
      <c r="H318" t="str">
        <f>IFERROR(INDEX(DimosNaiOxi,MATCH(ΤΚ!E318,DimosNai,0)),"")</f>
        <v/>
      </c>
      <c r="I318" t="str">
        <f>LOOKUP(B318,ΠΕΡΙΦΕΡΕΙΑ!$A$2:$A$14,ΠΕΡΙΦΕΡΕΙΑ!$B$2:$B$14)</f>
        <v>Ολική</v>
      </c>
      <c r="J318">
        <f t="shared" si="32"/>
        <v>317</v>
      </c>
      <c r="K318" s="199" t="e">
        <f t="shared" si="29"/>
        <v>#NUM!</v>
      </c>
      <c r="L318" t="str">
        <f t="shared" si="30"/>
        <v/>
      </c>
      <c r="M318" t="str">
        <f t="shared" si="31"/>
        <v/>
      </c>
      <c r="N318" s="197" t="str">
        <f t="shared" si="33"/>
        <v/>
      </c>
      <c r="O318" s="197" t="str">
        <f t="shared" si="34"/>
        <v/>
      </c>
    </row>
    <row r="319" spans="1:15" x14ac:dyDescent="0.25">
      <c r="A319" s="199">
        <v>318</v>
      </c>
      <c r="B319" t="s">
        <v>414</v>
      </c>
      <c r="C319" t="s">
        <v>402</v>
      </c>
      <c r="D319" t="s">
        <v>360</v>
      </c>
      <c r="E319" t="str">
        <f t="shared" si="28"/>
        <v xml:space="preserve">ΣΤΕΡΕΑΣ ΕΛΛΑΔΑΣ - ΜΑΚΡΑΚΩΜΗΣ, </v>
      </c>
      <c r="F319" s="225" t="s">
        <v>892</v>
      </c>
      <c r="G319" s="225">
        <v>14274</v>
      </c>
      <c r="H319" t="str">
        <f>IFERROR(INDEX(DimosNaiOxi,MATCH(ΤΚ!E319,DimosNai,0)),"")</f>
        <v/>
      </c>
      <c r="I319" t="str">
        <f>LOOKUP(B319,ΠΕΡΙΦΕΡΕΙΑ!$A$2:$A$14,ΠΕΡΙΦΕΡΕΙΑ!$B$2:$B$14)</f>
        <v>Ολική</v>
      </c>
      <c r="J319">
        <f t="shared" si="32"/>
        <v>318</v>
      </c>
      <c r="K319" s="199" t="e">
        <f t="shared" si="29"/>
        <v>#NUM!</v>
      </c>
      <c r="L319" t="str">
        <f t="shared" si="30"/>
        <v/>
      </c>
      <c r="M319" t="str">
        <f t="shared" si="31"/>
        <v/>
      </c>
      <c r="N319" s="197" t="str">
        <f t="shared" si="33"/>
        <v/>
      </c>
      <c r="O319" s="197" t="str">
        <f t="shared" si="34"/>
        <v/>
      </c>
    </row>
    <row r="320" spans="1:15" x14ac:dyDescent="0.25">
      <c r="A320" s="199">
        <v>319</v>
      </c>
      <c r="B320" t="s">
        <v>414</v>
      </c>
      <c r="C320" t="s">
        <v>400</v>
      </c>
      <c r="D320" t="s">
        <v>351</v>
      </c>
      <c r="E320" t="str">
        <f t="shared" si="28"/>
        <v xml:space="preserve">ΣΤΕΡΕΑΣ ΕΛΛΑΔΑΣ - ΜΑΝΤΟΥΔΙΟΥ – ΛΙΜΝΗΣ – ΑΓΙΑΣ ΑΝΝΑΣ, </v>
      </c>
      <c r="F320" s="225" t="s">
        <v>893</v>
      </c>
      <c r="G320" s="225">
        <v>14278</v>
      </c>
      <c r="H320" t="str">
        <f>IFERROR(INDEX(DimosNaiOxi,MATCH(ΤΚ!E320,DimosNai,0)),"")</f>
        <v/>
      </c>
      <c r="I320" t="str">
        <f>LOOKUP(B320,ΠΕΡΙΦΕΡΕΙΑ!$A$2:$A$14,ΠΕΡΙΦΕΡΕΙΑ!$B$2:$B$14)</f>
        <v>Ολική</v>
      </c>
      <c r="J320">
        <f t="shared" si="32"/>
        <v>319</v>
      </c>
      <c r="K320" s="199" t="e">
        <f t="shared" si="29"/>
        <v>#NUM!</v>
      </c>
      <c r="L320" t="str">
        <f t="shared" si="30"/>
        <v/>
      </c>
      <c r="M320" t="str">
        <f t="shared" si="31"/>
        <v/>
      </c>
      <c r="N320" s="197" t="str">
        <f t="shared" si="33"/>
        <v/>
      </c>
      <c r="O320" s="197" t="str">
        <f t="shared" si="34"/>
        <v/>
      </c>
    </row>
    <row r="321" spans="1:15" x14ac:dyDescent="0.25">
      <c r="A321" s="199">
        <v>320</v>
      </c>
      <c r="B321" t="s">
        <v>414</v>
      </c>
      <c r="C321" t="s">
        <v>402</v>
      </c>
      <c r="D321" t="s">
        <v>361</v>
      </c>
      <c r="E321" t="str">
        <f t="shared" si="28"/>
        <v xml:space="preserve">ΣΤΕΡΕΑΣ ΕΛΛΑΔΑΣ - ΜΩΛΟΥ – ΑΓΙΟΥ ΚΩΝΣΤΑΝΤΙΝΟΥ, </v>
      </c>
      <c r="F321" s="225" t="s">
        <v>894</v>
      </c>
      <c r="G321" s="225">
        <v>14272</v>
      </c>
      <c r="H321" t="str">
        <f>IFERROR(INDEX(DimosNaiOxi,MATCH(ΤΚ!E321,DimosNai,0)),"")</f>
        <v/>
      </c>
      <c r="I321" t="str">
        <f>LOOKUP(B321,ΠΕΡΙΦΕΡΕΙΑ!$A$2:$A$14,ΠΕΡΙΦΕΡΕΙΑ!$B$2:$B$14)</f>
        <v>Ολική</v>
      </c>
      <c r="J321">
        <f t="shared" si="32"/>
        <v>320</v>
      </c>
      <c r="K321" s="199" t="e">
        <f t="shared" si="29"/>
        <v>#NUM!</v>
      </c>
      <c r="L321" t="str">
        <f t="shared" si="30"/>
        <v/>
      </c>
      <c r="M321" t="str">
        <f t="shared" si="31"/>
        <v/>
      </c>
      <c r="N321" s="197" t="str">
        <f t="shared" si="33"/>
        <v/>
      </c>
      <c r="O321" s="197" t="str">
        <f t="shared" si="34"/>
        <v/>
      </c>
    </row>
    <row r="322" spans="1:15" x14ac:dyDescent="0.25">
      <c r="A322" s="199">
        <v>321</v>
      </c>
      <c r="B322" t="s">
        <v>414</v>
      </c>
      <c r="C322" t="s">
        <v>399</v>
      </c>
      <c r="D322" t="s">
        <v>344</v>
      </c>
      <c r="E322" t="str">
        <f t="shared" ref="E322:E326" si="35">B322&amp;" - "&amp;D322&amp;", "</f>
        <v xml:space="preserve">ΣΤΕΡΕΑΣ ΕΛΛΑΔΑΣ - ΟΡΧΟΜΕΝΟΥ, </v>
      </c>
      <c r="F322" s="225" t="s">
        <v>895</v>
      </c>
      <c r="G322" s="225">
        <v>14362</v>
      </c>
      <c r="H322" t="str">
        <f>IFERROR(INDEX(DimosNaiOxi,MATCH(ΤΚ!E322,DimosNai,0)),"")</f>
        <v/>
      </c>
      <c r="I322" t="str">
        <f>LOOKUP(B322,ΠΕΡΙΦΕΡΕΙΑ!$A$2:$A$14,ΠΕΡΙΦΕΡΕΙΑ!$B$2:$B$14)</f>
        <v>Ολική</v>
      </c>
      <c r="J322">
        <f t="shared" si="32"/>
        <v>321</v>
      </c>
      <c r="K322" s="199" t="e">
        <f t="shared" ref="K322:K326" si="36">SMALL(J:J,A322)</f>
        <v>#NUM!</v>
      </c>
      <c r="L322" t="str">
        <f t="shared" ref="L322:L326" si="37">IF(ISNUMBER(K322),LOOKUP(K322,A:A,B:B),"")</f>
        <v/>
      </c>
      <c r="M322" t="str">
        <f t="shared" si="31"/>
        <v/>
      </c>
      <c r="N322" s="197" t="str">
        <f t="shared" si="33"/>
        <v/>
      </c>
      <c r="O322" s="197" t="str">
        <f t="shared" si="34"/>
        <v/>
      </c>
    </row>
    <row r="323" spans="1:15" x14ac:dyDescent="0.25">
      <c r="A323" s="199">
        <v>322</v>
      </c>
      <c r="B323" t="s">
        <v>414</v>
      </c>
      <c r="C323" t="s">
        <v>400</v>
      </c>
      <c r="D323" t="s">
        <v>352</v>
      </c>
      <c r="E323" t="str">
        <f t="shared" si="35"/>
        <v xml:space="preserve">ΣΤΕΡΕΑΣ ΕΛΛΑΔΑΣ - ΣΚΥΡΟΥ, </v>
      </c>
      <c r="F323" s="225" t="s">
        <v>896</v>
      </c>
      <c r="G323" s="225">
        <v>14470</v>
      </c>
      <c r="H323" t="str">
        <f>IFERROR(INDEX(DimosNaiOxi,MATCH(ΤΚ!E323,DimosNai,0)),"")</f>
        <v/>
      </c>
      <c r="I323" t="str">
        <f>LOOKUP(B323,ΠΕΡΙΦΕΡΕΙΑ!$A$2:$A$14,ΠΕΡΙΦΕΡΕΙΑ!$B$2:$B$14)</f>
        <v>Ολική</v>
      </c>
      <c r="J323">
        <f t="shared" ref="J323:J326" si="38">IF(OR(AND(I323="Μερική",H323="ΝΑΙ"),I323="Ολική"),A323,"")</f>
        <v>322</v>
      </c>
      <c r="K323" s="199" t="e">
        <f t="shared" si="36"/>
        <v>#NUM!</v>
      </c>
      <c r="L323" t="str">
        <f t="shared" si="37"/>
        <v/>
      </c>
      <c r="M323" t="str">
        <f t="shared" si="31"/>
        <v/>
      </c>
      <c r="N323" s="197" t="str">
        <f t="shared" ref="N323:N326" si="39">IF(ISNUMBER(K323),LOOKUP(K323,A:A,G:G),"")</f>
        <v/>
      </c>
      <c r="O323" s="197" t="str">
        <f t="shared" ref="O323:O326" si="40">IF(ISNUMBER(K323),LOOKUP(K323,A:A,F:F),"")</f>
        <v/>
      </c>
    </row>
    <row r="324" spans="1:15" x14ac:dyDescent="0.25">
      <c r="A324" s="199">
        <v>323</v>
      </c>
      <c r="B324" t="s">
        <v>414</v>
      </c>
      <c r="C324" t="s">
        <v>402</v>
      </c>
      <c r="D324" t="s">
        <v>362</v>
      </c>
      <c r="E324" t="str">
        <f t="shared" si="35"/>
        <v xml:space="preserve">ΣΤΕΡΕΑΣ ΕΛΛΑΔΑΣ - ΣΤΥΛΙΔΟΣ, </v>
      </c>
      <c r="F324" s="225" t="s">
        <v>897</v>
      </c>
      <c r="G324" s="225">
        <v>14488</v>
      </c>
      <c r="H324" t="str">
        <f>IFERROR(INDEX(DimosNaiOxi,MATCH(ΤΚ!E324,DimosNai,0)),"")</f>
        <v/>
      </c>
      <c r="I324" t="str">
        <f>LOOKUP(B324,ΠΕΡΙΦΕΡΕΙΑ!$A$2:$A$14,ΠΕΡΙΦΕΡΕΙΑ!$B$2:$B$14)</f>
        <v>Ολική</v>
      </c>
      <c r="J324">
        <f t="shared" si="38"/>
        <v>323</v>
      </c>
      <c r="K324" s="199" t="e">
        <f t="shared" si="36"/>
        <v>#NUM!</v>
      </c>
      <c r="L324" t="str">
        <f t="shared" si="37"/>
        <v/>
      </c>
      <c r="M324" t="str">
        <f t="shared" si="31"/>
        <v/>
      </c>
      <c r="N324" s="197" t="str">
        <f t="shared" si="39"/>
        <v/>
      </c>
      <c r="O324" s="197" t="str">
        <f t="shared" si="40"/>
        <v/>
      </c>
    </row>
    <row r="325" spans="1:15" x14ac:dyDescent="0.25">
      <c r="A325" s="199">
        <v>324</v>
      </c>
      <c r="B325" t="s">
        <v>414</v>
      </c>
      <c r="C325" t="s">
        <v>399</v>
      </c>
      <c r="D325" t="s">
        <v>345</v>
      </c>
      <c r="E325" t="str">
        <f t="shared" si="35"/>
        <v xml:space="preserve">ΣΤΕΡΕΑΣ ΕΛΛΑΔΑΣ - ΤΑΝΑΓΡΑΣ, </v>
      </c>
      <c r="F325" s="225" t="s">
        <v>898</v>
      </c>
      <c r="G325" s="225">
        <v>14496</v>
      </c>
      <c r="H325" t="str">
        <f>IFERROR(INDEX(DimosNaiOxi,MATCH(ΤΚ!E325,DimosNai,0)),"")</f>
        <v/>
      </c>
      <c r="I325" t="str">
        <f>LOOKUP(B325,ΠΕΡΙΦΕΡΕΙΑ!$A$2:$A$14,ΠΕΡΙΦΕΡΕΙΑ!$B$2:$B$14)</f>
        <v>Ολική</v>
      </c>
      <c r="J325">
        <f t="shared" si="38"/>
        <v>324</v>
      </c>
      <c r="K325" s="199" t="e">
        <f t="shared" si="36"/>
        <v>#NUM!</v>
      </c>
      <c r="L325" t="str">
        <f t="shared" si="37"/>
        <v/>
      </c>
      <c r="M325" t="str">
        <f t="shared" si="31"/>
        <v/>
      </c>
      <c r="N325" s="197" t="str">
        <f t="shared" si="39"/>
        <v/>
      </c>
      <c r="O325" s="197" t="str">
        <f t="shared" si="40"/>
        <v/>
      </c>
    </row>
    <row r="326" spans="1:15" x14ac:dyDescent="0.25">
      <c r="A326" s="199">
        <v>325</v>
      </c>
      <c r="B326" t="s">
        <v>414</v>
      </c>
      <c r="C326" t="s">
        <v>400</v>
      </c>
      <c r="D326" t="s">
        <v>353</v>
      </c>
      <c r="E326" t="str">
        <f t="shared" si="35"/>
        <v xml:space="preserve">ΣΤΕΡΕΑΣ ΕΛΛΑΔΑΣ - ΧΑΛΚΙΔΕΩΝ, </v>
      </c>
      <c r="F326" s="225" t="s">
        <v>899</v>
      </c>
      <c r="G326" s="225">
        <v>14540</v>
      </c>
      <c r="H326" t="str">
        <f>IFERROR(INDEX(DimosNaiOxi,MATCH(ΤΚ!E326,DimosNai,0)),"")</f>
        <v/>
      </c>
      <c r="I326" t="str">
        <f>LOOKUP(B326,ΠΕΡΙΦΕΡΕΙΑ!$A$2:$A$14,ΠΕΡΙΦΕΡΕΙΑ!$B$2:$B$14)</f>
        <v>Ολική</v>
      </c>
      <c r="J326">
        <f t="shared" si="38"/>
        <v>325</v>
      </c>
      <c r="K326" s="199" t="e">
        <f t="shared" si="36"/>
        <v>#NUM!</v>
      </c>
      <c r="L326" t="str">
        <f t="shared" si="37"/>
        <v/>
      </c>
      <c r="M326" t="str">
        <f t="shared" si="31"/>
        <v/>
      </c>
      <c r="N326" s="197" t="str">
        <f t="shared" si="39"/>
        <v/>
      </c>
      <c r="O326" s="197" t="str">
        <f t="shared" si="40"/>
        <v/>
      </c>
    </row>
  </sheetData>
  <sortState ref="B2:D326">
    <sortCondition ref="B2:B326"/>
    <sortCondition ref="D2:D326"/>
  </sortState>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headerFooter>
    <oddFooter>&amp;L&amp;1#&amp;"Calibri"&amp;7&amp;K000000C2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5"/>
  <sheetViews>
    <sheetView workbookViewId="0">
      <selection activeCell="A12" sqref="A12"/>
    </sheetView>
  </sheetViews>
  <sheetFormatPr defaultColWidth="0" defaultRowHeight="15" zeroHeight="1" x14ac:dyDescent="0.25"/>
  <cols>
    <col min="1" max="2" width="59.7109375" customWidth="1"/>
    <col min="3" max="3" width="21.140625" hidden="1" customWidth="1"/>
    <col min="4" max="4" width="16.140625" style="201" hidden="1" customWidth="1"/>
    <col min="5" max="5" width="24.140625" style="201" hidden="1" customWidth="1"/>
    <col min="6" max="6" width="21.140625" style="201" hidden="1" customWidth="1"/>
    <col min="7" max="7" width="18.7109375" style="201" hidden="1" customWidth="1"/>
    <col min="8" max="8" width="20.85546875" hidden="1" customWidth="1"/>
    <col min="9" max="9" width="16.140625" hidden="1" customWidth="1"/>
    <col min="10" max="10" width="18" hidden="1" customWidth="1"/>
    <col min="11" max="11" width="17.28515625" hidden="1" customWidth="1"/>
    <col min="12" max="12" width="20.5703125" hidden="1" customWidth="1"/>
    <col min="13" max="16384" width="9.140625" hidden="1"/>
  </cols>
  <sheetData>
    <row r="1" spans="1:12" ht="60.75" thickBot="1" x14ac:dyDescent="0.3">
      <c r="A1" s="192" t="s">
        <v>921</v>
      </c>
      <c r="B1" s="192" t="s">
        <v>922</v>
      </c>
      <c r="C1" s="201" t="s">
        <v>902</v>
      </c>
      <c r="D1" s="202" t="s">
        <v>904</v>
      </c>
      <c r="E1" s="202" t="s">
        <v>905</v>
      </c>
      <c r="F1" s="201" t="s">
        <v>906</v>
      </c>
      <c r="G1" s="201" t="s">
        <v>907</v>
      </c>
      <c r="H1" s="203" t="s">
        <v>903</v>
      </c>
      <c r="I1" s="204" t="s">
        <v>908</v>
      </c>
      <c r="J1" s="204" t="s">
        <v>909</v>
      </c>
      <c r="K1" s="204" t="s">
        <v>910</v>
      </c>
      <c r="L1" s="204" t="s">
        <v>911</v>
      </c>
    </row>
    <row r="2" spans="1:12" ht="15.75" thickTop="1" x14ac:dyDescent="0.25">
      <c r="A2" s="193" t="s">
        <v>933</v>
      </c>
      <c r="B2" s="193"/>
      <c r="C2" s="201" t="str">
        <f>IF(A2="","",A2&amp;",")</f>
        <v>ΑΤΤΙΚΗΣ - ΚΗΦΙΣΙΑΣ,</v>
      </c>
      <c r="D2" s="201">
        <f t="shared" ref="D2:D15" si="0">_xlfn.IFNA(INDEX(OrchardIDnai,MATCH(A2,DimosNameNai,0)),"")</f>
        <v>14212</v>
      </c>
      <c r="E2" s="201" t="str">
        <f t="shared" ref="E2:E15" si="1">_xlfn.IFNA(INDEX(OrchardNameNai,MATCH(A2,DimosNameNai,0)),"")</f>
        <v>Κηφισιάς</v>
      </c>
      <c r="F2" s="201" t="str">
        <f>IF(D2="","",D2&amp;",")</f>
        <v>14212,</v>
      </c>
      <c r="G2" s="201" t="str">
        <f>IF(E2="","",E2&amp;",")</f>
        <v>Κηφισιάς,</v>
      </c>
      <c r="H2" s="203" t="str">
        <f>IF(B2="","",B2&amp;",")</f>
        <v/>
      </c>
      <c r="I2" s="203" t="str">
        <f t="shared" ref="I2:I15" si="2">_xlfn.IFNA(INDEX(OrchardIDnai,MATCH(B2,DimosNameNai,0)),"")</f>
        <v/>
      </c>
      <c r="J2" s="203" t="str">
        <f t="shared" ref="J2:J15" si="3">_xlfn.IFNA(INDEX(OrchardNameNai,MATCH(B2,DimosNameNai,0)),"")</f>
        <v/>
      </c>
      <c r="K2" s="203" t="str">
        <f>IF(I2="","",I2&amp;",")</f>
        <v/>
      </c>
      <c r="L2" s="203" t="str">
        <f>IF(J2="","",J2&amp;",")</f>
        <v/>
      </c>
    </row>
    <row r="3" spans="1:12" x14ac:dyDescent="0.25">
      <c r="A3" s="194" t="s">
        <v>934</v>
      </c>
      <c r="B3" s="194"/>
      <c r="C3" s="201" t="str">
        <f t="shared" ref="C3:C12" si="4">IF(A3="",C2,C2&amp;A3&amp;",")</f>
        <v>ΑΤΤΙΚΗΣ - ΚΗΦΙΣΙΑΣ,ΚΕΝΤΡΙΚΗΣ ΜΑΚΕΔΟΝΙΑΣ - ΠΑΥΛΟΥ ΜΕΛΑ,</v>
      </c>
      <c r="D3" s="201">
        <f t="shared" si="0"/>
        <v>14382</v>
      </c>
      <c r="E3" s="201" t="str">
        <f t="shared" si="1"/>
        <v>Παύλου Μελά</v>
      </c>
      <c r="F3" s="201" t="str">
        <f t="shared" ref="F3:G12" si="5">IF(D3="",F2,F2&amp;D3&amp;",")</f>
        <v>14212,14382,</v>
      </c>
      <c r="G3" s="201" t="str">
        <f t="shared" si="5"/>
        <v>Κηφισιάς,Παύλου Μελά,</v>
      </c>
      <c r="H3" s="203" t="str">
        <f t="shared" ref="H3:H12" si="6">IF(B3="",H2,H2&amp;B3&amp;",")</f>
        <v/>
      </c>
      <c r="I3" s="203" t="str">
        <f t="shared" si="2"/>
        <v/>
      </c>
      <c r="J3" s="203" t="str">
        <f t="shared" si="3"/>
        <v/>
      </c>
      <c r="K3" s="203" t="str">
        <f t="shared" ref="K3:K12" si="7">IF(I3="",K2,K2&amp;I3&amp;",")</f>
        <v/>
      </c>
      <c r="L3" s="203" t="str">
        <f t="shared" ref="L3:L12" si="8">IF(J3="",L2,L2&amp;J3&amp;",")</f>
        <v/>
      </c>
    </row>
    <row r="4" spans="1:12" x14ac:dyDescent="0.25">
      <c r="A4" s="194" t="s">
        <v>935</v>
      </c>
      <c r="B4" s="194"/>
      <c r="C4" s="201" t="str">
        <f t="shared" si="4"/>
        <v>ΑΤΤΙΚΗΣ - ΚΗΦΙΣΙΑΣ,ΚΕΝΤΡΙΚΗΣ ΜΑΚΕΔΟΝΙΑΣ - ΠΑΥΛΟΥ ΜΕΛΑ,ΘΕΣΣΑΛΙΑΣ - ΛΑΡΙΣΑΙΩΝ,</v>
      </c>
      <c r="D4" s="201">
        <f t="shared" si="0"/>
        <v>14250</v>
      </c>
      <c r="E4" s="201" t="str">
        <f t="shared" si="1"/>
        <v>Λαρισαίων</v>
      </c>
      <c r="F4" s="201" t="str">
        <f t="shared" si="5"/>
        <v>14212,14382,14250,</v>
      </c>
      <c r="G4" s="201" t="str">
        <f t="shared" si="5"/>
        <v>Κηφισιάς,Παύλου Μελά,Λαρισαίων,</v>
      </c>
      <c r="H4" s="203" t="str">
        <f t="shared" si="6"/>
        <v/>
      </c>
      <c r="I4" s="203" t="str">
        <f t="shared" si="2"/>
        <v/>
      </c>
      <c r="J4" s="203" t="str">
        <f t="shared" si="3"/>
        <v/>
      </c>
      <c r="K4" s="203" t="str">
        <f t="shared" si="7"/>
        <v/>
      </c>
      <c r="L4" s="203" t="str">
        <f t="shared" si="8"/>
        <v/>
      </c>
    </row>
    <row r="5" spans="1:12" x14ac:dyDescent="0.25">
      <c r="A5" s="194" t="s">
        <v>936</v>
      </c>
      <c r="B5" s="194"/>
      <c r="C5" s="201" t="str">
        <f t="shared" si="4"/>
        <v>ΑΤΤΙΚΗΣ - ΚΗΦΙΣΙΑΣ,ΚΕΝΤΡΙΚΗΣ ΜΑΚΕΔΟΝΙΑΣ - ΠΑΥΛΟΥ ΜΕΛΑ,ΘΕΣΣΑΛΙΑΣ - ΛΑΡΙΣΑΙΩΝ,ΗΠΕΙΡΟΥ - ΙΩΑΝΝΙΤΩΝ,</v>
      </c>
      <c r="D5" s="201">
        <f t="shared" si="0"/>
        <v>14158</v>
      </c>
      <c r="E5" s="201" t="str">
        <f t="shared" si="1"/>
        <v>Ιωαννιτών</v>
      </c>
      <c r="F5" s="201" t="str">
        <f t="shared" si="5"/>
        <v>14212,14382,14250,14158,</v>
      </c>
      <c r="G5" s="201" t="str">
        <f t="shared" si="5"/>
        <v>Κηφισιάς,Παύλου Μελά,Λαρισαίων,Ιωαννιτών,</v>
      </c>
      <c r="H5" s="203" t="str">
        <f t="shared" si="6"/>
        <v/>
      </c>
      <c r="I5" s="203" t="str">
        <f t="shared" si="2"/>
        <v/>
      </c>
      <c r="J5" s="203" t="str">
        <f t="shared" si="3"/>
        <v/>
      </c>
      <c r="K5" s="203" t="str">
        <f t="shared" si="7"/>
        <v/>
      </c>
      <c r="L5" s="203" t="str">
        <f t="shared" si="8"/>
        <v/>
      </c>
    </row>
    <row r="6" spans="1:12" x14ac:dyDescent="0.25">
      <c r="A6" s="194" t="s">
        <v>937</v>
      </c>
      <c r="B6" s="194"/>
      <c r="C6" s="201" t="str">
        <f t="shared" si="4"/>
        <v>ΑΤΤΙΚΗΣ - ΚΗΦΙΣΙΑΣ,ΚΕΝΤΡΙΚΗΣ ΜΑΚΕΔΟΝΙΑΣ - ΠΑΥΛΟΥ ΜΕΛΑ,ΘΕΣΣΑΛΙΑΣ - ΛΑΡΙΣΑΙΩΝ,ΗΠΕΙΡΟΥ - ΙΩΑΝΝΙΤΩΝ,ΑΝΑΤΟΛΙΚΗΣ ΜΑΚΕΔΟΝΙΑΣ ΚΑΙ ΘΡΑΚΗΣ - ΚΑΒΑΛΑΣ,</v>
      </c>
      <c r="D6" s="201">
        <f t="shared" si="0"/>
        <v>14174</v>
      </c>
      <c r="E6" s="201" t="str">
        <f t="shared" si="1"/>
        <v>Καβάλας</v>
      </c>
      <c r="F6" s="201" t="str">
        <f t="shared" si="5"/>
        <v>14212,14382,14250,14158,14174,</v>
      </c>
      <c r="G6" s="201" t="str">
        <f t="shared" si="5"/>
        <v>Κηφισιάς,Παύλου Μελά,Λαρισαίων,Ιωαννιτών,Καβάλας,</v>
      </c>
      <c r="H6" s="203" t="str">
        <f t="shared" si="6"/>
        <v/>
      </c>
      <c r="I6" s="203" t="str">
        <f t="shared" si="2"/>
        <v/>
      </c>
      <c r="J6" s="203" t="str">
        <f t="shared" si="3"/>
        <v/>
      </c>
      <c r="K6" s="203" t="str">
        <f t="shared" si="7"/>
        <v/>
      </c>
      <c r="L6" s="203" t="str">
        <f t="shared" si="8"/>
        <v/>
      </c>
    </row>
    <row r="7" spans="1:12" x14ac:dyDescent="0.25">
      <c r="A7" s="194" t="s">
        <v>938</v>
      </c>
      <c r="B7" s="194"/>
      <c r="C7" s="201" t="str">
        <f t="shared" si="4"/>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v>
      </c>
      <c r="D7" s="201">
        <f t="shared" si="0"/>
        <v>14018</v>
      </c>
      <c r="E7" s="201" t="str">
        <f t="shared" si="1"/>
        <v>Βέροιας</v>
      </c>
      <c r="F7" s="201" t="str">
        <f t="shared" si="5"/>
        <v>14212,14382,14250,14158,14174,14018,</v>
      </c>
      <c r="G7" s="201" t="str">
        <f t="shared" si="5"/>
        <v>Κηφισιάς,Παύλου Μελά,Λαρισαίων,Ιωαννιτών,Καβάλας,Βέροιας,</v>
      </c>
      <c r="H7" s="203" t="str">
        <f t="shared" si="6"/>
        <v/>
      </c>
      <c r="I7" s="203" t="str">
        <f t="shared" si="2"/>
        <v/>
      </c>
      <c r="J7" s="203" t="str">
        <f t="shared" si="3"/>
        <v/>
      </c>
      <c r="K7" s="203" t="str">
        <f t="shared" si="7"/>
        <v/>
      </c>
      <c r="L7" s="203" t="str">
        <f t="shared" si="8"/>
        <v/>
      </c>
    </row>
    <row r="8" spans="1:12" x14ac:dyDescent="0.25">
      <c r="A8" s="194" t="s">
        <v>939</v>
      </c>
      <c r="B8" s="194"/>
      <c r="C8" s="201" t="str">
        <f t="shared" si="4"/>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v>
      </c>
      <c r="D8" s="201">
        <f t="shared" si="0"/>
        <v>14202</v>
      </c>
      <c r="E8" s="201" t="str">
        <f t="shared" si="1"/>
        <v>Καστοριάς</v>
      </c>
      <c r="F8" s="201" t="str">
        <f t="shared" si="5"/>
        <v>14212,14382,14250,14158,14174,14018,14202,</v>
      </c>
      <c r="G8" s="201" t="str">
        <f t="shared" si="5"/>
        <v>Κηφισιάς,Παύλου Μελά,Λαρισαίων,Ιωαννιτών,Καβάλας,Βέροιας,Καστοριάς,</v>
      </c>
      <c r="H8" s="203" t="str">
        <f t="shared" si="6"/>
        <v/>
      </c>
      <c r="I8" s="203" t="str">
        <f t="shared" si="2"/>
        <v/>
      </c>
      <c r="J8" s="203" t="str">
        <f t="shared" si="3"/>
        <v/>
      </c>
      <c r="K8" s="203" t="str">
        <f t="shared" si="7"/>
        <v/>
      </c>
      <c r="L8" s="203" t="str">
        <f t="shared" si="8"/>
        <v/>
      </c>
    </row>
    <row r="9" spans="1:12" x14ac:dyDescent="0.25">
      <c r="A9" s="194" t="s">
        <v>940</v>
      </c>
      <c r="B9" s="194"/>
      <c r="C9" s="201" t="str">
        <f t="shared" si="4"/>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v>
      </c>
      <c r="D9" s="201">
        <f t="shared" si="0"/>
        <v>14350</v>
      </c>
      <c r="E9" s="201" t="str">
        <f t="shared" si="1"/>
        <v>Ξυλοκάστρου - Ευρωστίνης</v>
      </c>
      <c r="F9" s="201" t="str">
        <f t="shared" si="5"/>
        <v>14212,14382,14250,14158,14174,14018,14202,14350,</v>
      </c>
      <c r="G9" s="201" t="str">
        <f t="shared" si="5"/>
        <v>Κηφισιάς,Παύλου Μελά,Λαρισαίων,Ιωαννιτών,Καβάλας,Βέροιας,Καστοριάς,Ξυλοκάστρου - Ευρωστίνης,</v>
      </c>
      <c r="H9" s="203" t="str">
        <f t="shared" si="6"/>
        <v/>
      </c>
      <c r="I9" s="203" t="str">
        <f t="shared" si="2"/>
        <v/>
      </c>
      <c r="J9" s="203" t="str">
        <f t="shared" si="3"/>
        <v/>
      </c>
      <c r="K9" s="203" t="str">
        <f t="shared" si="7"/>
        <v/>
      </c>
      <c r="L9" s="203" t="str">
        <f t="shared" si="8"/>
        <v/>
      </c>
    </row>
    <row r="10" spans="1:12" x14ac:dyDescent="0.25">
      <c r="A10" s="194" t="s">
        <v>941</v>
      </c>
      <c r="B10" s="194"/>
      <c r="C10" s="201" t="str">
        <f t="shared" si="4"/>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v>
      </c>
      <c r="D10" s="201">
        <f t="shared" si="0"/>
        <v>14166</v>
      </c>
      <c r="E10" s="201" t="str">
        <f t="shared" si="1"/>
        <v>Κέρκυρας</v>
      </c>
      <c r="F10" s="201" t="str">
        <f t="shared" si="5"/>
        <v>14212,14382,14250,14158,14174,14018,14202,14350,14166,</v>
      </c>
      <c r="G10" s="201" t="str">
        <f t="shared" si="5"/>
        <v>Κηφισιάς,Παύλου Μελά,Λαρισαίων,Ιωαννιτών,Καβάλας,Βέροιας,Καστοριάς,Ξυλοκάστρου - Ευρωστίνης,Κέρκυρας,</v>
      </c>
      <c r="H10" s="203" t="str">
        <f t="shared" si="6"/>
        <v/>
      </c>
      <c r="I10" s="203" t="str">
        <f t="shared" si="2"/>
        <v/>
      </c>
      <c r="J10" s="203" t="str">
        <f t="shared" si="3"/>
        <v/>
      </c>
      <c r="K10" s="203" t="str">
        <f t="shared" si="7"/>
        <v/>
      </c>
      <c r="L10" s="203" t="str">
        <f t="shared" si="8"/>
        <v/>
      </c>
    </row>
    <row r="11" spans="1:12" x14ac:dyDescent="0.25">
      <c r="A11" s="194" t="s">
        <v>942</v>
      </c>
      <c r="B11" s="194"/>
      <c r="C11" s="201" t="str">
        <f t="shared" si="4"/>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v>
      </c>
      <c r="D11" s="201">
        <f t="shared" si="0"/>
        <v>14402</v>
      </c>
      <c r="E11" s="201" t="str">
        <f t="shared" si="1"/>
        <v>Πατρέων</v>
      </c>
      <c r="F11" s="201" t="str">
        <f t="shared" si="5"/>
        <v>14212,14382,14250,14158,14174,14018,14202,14350,14166,14402,</v>
      </c>
      <c r="G11" s="201" t="str">
        <f t="shared" si="5"/>
        <v>Κηφισιάς,Παύλου Μελά,Λαρισαίων,Ιωαννιτών,Καβάλας,Βέροιας,Καστοριάς,Ξυλοκάστρου - Ευρωστίνης,Κέρκυρας,Πατρέων,</v>
      </c>
      <c r="H11" s="203" t="str">
        <f t="shared" si="6"/>
        <v/>
      </c>
      <c r="I11" s="203" t="str">
        <f t="shared" si="2"/>
        <v/>
      </c>
      <c r="J11" s="203" t="str">
        <f t="shared" si="3"/>
        <v/>
      </c>
      <c r="K11" s="203" t="str">
        <f t="shared" si="7"/>
        <v/>
      </c>
      <c r="L11" s="203" t="str">
        <f t="shared" si="8"/>
        <v/>
      </c>
    </row>
    <row r="12" spans="1:12" x14ac:dyDescent="0.25">
      <c r="A12" s="194" t="s">
        <v>943</v>
      </c>
      <c r="B12" s="194"/>
      <c r="C12" s="201" t="str">
        <f t="shared" si="4"/>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v>
      </c>
      <c r="D12" s="201">
        <f t="shared" si="0"/>
        <v>14140</v>
      </c>
      <c r="E12" s="201" t="str">
        <f t="shared" si="1"/>
        <v>Θηβαίων</v>
      </c>
      <c r="F12" s="201" t="str">
        <f t="shared" si="5"/>
        <v>14212,14382,14250,14158,14174,14018,14202,14350,14166,14402,14140,</v>
      </c>
      <c r="G12" s="201" t="str">
        <f t="shared" si="5"/>
        <v>Κηφισιάς,Παύλου Μελά,Λαρισαίων,Ιωαννιτών,Καβάλας,Βέροιας,Καστοριάς,Ξυλοκάστρου - Ευρωστίνης,Κέρκυρας,Πατρέων,Θηβαίων,</v>
      </c>
      <c r="H12" s="203" t="str">
        <f t="shared" si="6"/>
        <v/>
      </c>
      <c r="I12" s="203" t="str">
        <f t="shared" si="2"/>
        <v/>
      </c>
      <c r="J12" s="203" t="str">
        <f t="shared" si="3"/>
        <v/>
      </c>
      <c r="K12" s="203" t="str">
        <f t="shared" si="7"/>
        <v/>
      </c>
      <c r="L12" s="203" t="str">
        <f t="shared" si="8"/>
        <v/>
      </c>
    </row>
    <row r="13" spans="1:12" s="224" customFormat="1" x14ac:dyDescent="0.25">
      <c r="A13" s="194" t="s">
        <v>944</v>
      </c>
      <c r="B13" s="194"/>
      <c r="C13" s="201"/>
      <c r="D13" s="201"/>
      <c r="E13" s="201"/>
      <c r="F13" s="201"/>
      <c r="G13" s="201"/>
      <c r="H13" s="203"/>
      <c r="I13" s="203"/>
      <c r="J13" s="203"/>
      <c r="K13" s="203"/>
      <c r="L13" s="203"/>
    </row>
    <row r="14" spans="1:12" x14ac:dyDescent="0.25">
      <c r="A14" s="194" t="s">
        <v>945</v>
      </c>
      <c r="B14" s="194"/>
      <c r="C14" s="201" t="str">
        <f>IF(A14="",C12,C12&amp;A14&amp;",")</f>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v>
      </c>
      <c r="D14" s="201">
        <f t="shared" si="0"/>
        <v>14438</v>
      </c>
      <c r="E14" s="201" t="str">
        <f t="shared" si="1"/>
        <v>Σάμου</v>
      </c>
      <c r="F14" s="201" t="str">
        <f>IF(D14="",F12,F12&amp;D14&amp;",")</f>
        <v>14212,14382,14250,14158,14174,14018,14202,14350,14166,14402,14140,14438,</v>
      </c>
      <c r="G14" s="201" t="str">
        <f>IF(E14="",G12,G12&amp;E14&amp;",")</f>
        <v>Κηφισιάς,Παύλου Μελά,Λαρισαίων,Ιωαννιτών,Καβάλας,Βέροιας,Καστοριάς,Ξυλοκάστρου - Ευρωστίνης,Κέρκυρας,Πατρέων,Θηβαίων,Σάμου,</v>
      </c>
      <c r="H14" s="203" t="str">
        <f>IF(B14="",H12,H12&amp;B14&amp;",")</f>
        <v/>
      </c>
      <c r="I14" s="203" t="str">
        <f t="shared" si="2"/>
        <v/>
      </c>
      <c r="J14" s="203" t="str">
        <f t="shared" si="3"/>
        <v/>
      </c>
      <c r="K14" s="203" t="str">
        <f>IF(I14="",K12,K12&amp;I14&amp;",")</f>
        <v/>
      </c>
      <c r="L14" s="203" t="str">
        <f>IF(J14="",L12,L12&amp;J14&amp;",")</f>
        <v/>
      </c>
    </row>
    <row r="15" spans="1:12" ht="15.75" thickBot="1" x14ac:dyDescent="0.3">
      <c r="A15" s="195" t="s">
        <v>946</v>
      </c>
      <c r="B15" s="195"/>
      <c r="C15" s="201" t="str">
        <f>IF(LEN(C14)&gt;1,IF(A15="",LEFT(C14,LEN(C14)-1),C14&amp;A15),IF(A15="","",A15))</f>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D15" s="201">
        <f t="shared" si="0"/>
        <v>14444</v>
      </c>
      <c r="E15" s="201" t="str">
        <f t="shared" si="1"/>
        <v>Σύρου - Ερμούπολης</v>
      </c>
      <c r="F15" s="201" t="str">
        <f>IF(LEN(F14)&gt;1,IF(D15="",LEFT(F14,LEN(F14)-1),F14&amp;D15),IF(D15="","",D15))</f>
        <v>14212,14382,14250,14158,14174,14018,14202,14350,14166,14402,14140,14438,14444</v>
      </c>
      <c r="G15" s="201" t="str">
        <f>IF(LEN(G14)&gt;1,IF(E15="",LEFT(G14,LEN(G14)-1),G14&amp;E15),IF(E15="","",E15))</f>
        <v>Κηφισιάς,Παύλου Μελά,Λαρισαίων,Ιωαννιτών,Καβάλας,Βέροιας,Καστοριάς,Ξυλοκάστρου - Ευρωστίνης,Κέρκυρας,Πατρέων,Θηβαίων,Σάμου,Σύρου - Ερμούπολης</v>
      </c>
      <c r="H15" s="203" t="str">
        <f>IF(LEN(H14)&gt;1,IF(B15="",LEFT(H14,LEN(H14)-1),H14&amp;B15),IF(B15="","",B15))</f>
        <v/>
      </c>
      <c r="I15" s="203" t="str">
        <f t="shared" si="2"/>
        <v/>
      </c>
      <c r="J15" s="203" t="str">
        <f t="shared" si="3"/>
        <v/>
      </c>
      <c r="K15" s="203" t="str">
        <f>IF(LEN(K14)&gt;1,IF(I15="",LEFT(K14,LEN(K14)-1),K14&amp;I15),IF(I15="","",I15))</f>
        <v/>
      </c>
      <c r="L15" s="203" t="str">
        <f>IF(LEN(L14)&gt;1,IF(J15="",LEFT(L14,LEN(L14)-1),L14&amp;J15),IF(J15="","",J15))</f>
        <v/>
      </c>
    </row>
  </sheetData>
  <sheetProtection algorithmName="SHA-512" hashValue="kj2cKocJnNrt/k2t2Be8zz4hVQPlXeUN+91OLlRRuSjInl+j6oYvteXnggpWDz6h8uP4BJgUD0RtIh+kF5D2yw==" saltValue="ve9UY+DvXGVmHDeCxGAqYQ==" spinCount="100000" sheet="1" objects="1" scenarios="1" selectLockedCells="1"/>
  <dataValidations count="1">
    <dataValidation type="list" allowBlank="1" showInputMessage="1" showErrorMessage="1" sqref="A2:B15">
      <formula1>MeasTK</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O18"/>
  <sheetViews>
    <sheetView topLeftCell="G2" zoomScale="80" zoomScaleNormal="80" workbookViewId="0">
      <selection activeCell="L3" sqref="L3"/>
    </sheetView>
  </sheetViews>
  <sheetFormatPr defaultColWidth="0" defaultRowHeight="15" zeroHeight="1" x14ac:dyDescent="0.25"/>
  <cols>
    <col min="1" max="1" width="50" style="167" customWidth="1"/>
    <col min="2" max="2" width="23" style="167" hidden="1" customWidth="1"/>
    <col min="3" max="3" width="23" style="167" customWidth="1"/>
    <col min="4" max="5" width="23" style="212" hidden="1" customWidth="1"/>
    <col min="6" max="7" width="57.140625" style="167" customWidth="1"/>
    <col min="8" max="8" width="43.140625" style="167" customWidth="1"/>
    <col min="9" max="9" width="32.7109375" style="291" customWidth="1"/>
    <col min="10" max="10" width="25.140625" style="167" customWidth="1"/>
    <col min="11" max="11" width="6.85546875" style="167" hidden="1" customWidth="1"/>
    <col min="12" max="12" width="28.85546875" style="167" customWidth="1"/>
    <col min="13" max="13" width="6.42578125" style="167" customWidth="1"/>
    <col min="14" max="14" width="15.5703125" style="167" customWidth="1"/>
    <col min="15" max="15" width="66.85546875" style="167" customWidth="1"/>
    <col min="16" max="16384" width="9.140625" style="167" hidden="1"/>
  </cols>
  <sheetData>
    <row r="1" spans="1:15" ht="15.75" hidden="1" thickBot="1" x14ac:dyDescent="0.3">
      <c r="A1" t="s">
        <v>502</v>
      </c>
      <c r="B1" t="s">
        <v>501</v>
      </c>
      <c r="C1" s="2" t="s">
        <v>503</v>
      </c>
      <c r="D1" s="209" t="s">
        <v>900</v>
      </c>
      <c r="E1" s="209" t="s">
        <v>901</v>
      </c>
      <c r="F1" s="2" t="s">
        <v>506</v>
      </c>
      <c r="G1" s="2" t="s">
        <v>504</v>
      </c>
      <c r="H1" s="2" t="s">
        <v>928</v>
      </c>
      <c r="I1" s="2" t="s">
        <v>507</v>
      </c>
      <c r="J1" s="61" t="s">
        <v>510</v>
      </c>
      <c r="K1" s="2" t="s">
        <v>508</v>
      </c>
      <c r="L1" s="2" t="s">
        <v>509</v>
      </c>
      <c r="N1" s="61" t="s">
        <v>510</v>
      </c>
      <c r="O1" s="61" t="s">
        <v>510</v>
      </c>
    </row>
    <row r="2" spans="1:15" ht="71.25" customHeight="1" thickBot="1" x14ac:dyDescent="0.3">
      <c r="A2" s="3" t="s">
        <v>422</v>
      </c>
      <c r="B2" s="4" t="s">
        <v>28</v>
      </c>
      <c r="C2" s="4" t="s">
        <v>433</v>
      </c>
      <c r="D2" s="213"/>
      <c r="E2" s="213"/>
      <c r="F2" s="4" t="s">
        <v>575</v>
      </c>
      <c r="G2" s="4" t="s">
        <v>479</v>
      </c>
      <c r="H2" s="4" t="s">
        <v>443</v>
      </c>
      <c r="I2" s="4" t="s">
        <v>929</v>
      </c>
      <c r="J2" s="4" t="s">
        <v>923</v>
      </c>
      <c r="K2" s="81" t="s">
        <v>497</v>
      </c>
      <c r="L2" s="82" t="s">
        <v>421</v>
      </c>
      <c r="N2" s="46" t="s">
        <v>452</v>
      </c>
      <c r="O2" s="103" t="s">
        <v>550</v>
      </c>
    </row>
    <row r="3" spans="1:15" ht="30.75" customHeight="1" thickTop="1" x14ac:dyDescent="0.25">
      <c r="A3" s="17" t="s">
        <v>442</v>
      </c>
      <c r="B3" s="44" t="str">
        <f>ΓΕΝΙΚΑ!C4</f>
        <v>VODAFONE</v>
      </c>
      <c r="C3" s="172" t="s">
        <v>434</v>
      </c>
      <c r="D3" s="214" t="str">
        <f>IF(N3="",IF(ΓΕΝΙΚΑ!$B$16="ΝΑΙ",'ΤΚ ΜΕΤΡΗΣΕΩΝ B01'!F15,""),"")</f>
        <v>14212,14382,14250,14158,14174,14018,14202,14350,14166,14402,14140,14438,14444</v>
      </c>
      <c r="E3" s="214" t="str">
        <f>IF(ΓΕΝΙΚΑ!$B$16="ΝΑΙ",'ΤΚ ΜΕΤΡΗΣΕΩΝ B01'!G15,"")</f>
        <v>Κηφισιάς,Παύλου Μελά,Λαρισαίων,Ιωαννιτών,Καβάλας,Βέροιας,Καστοριάς,Ξυλοκάστρου - Ευρωστίνης,Κέρκυρας,Πατρέων,Θηβαίων,Σάμου,Σύρου - Ερμούπολης</v>
      </c>
      <c r="F3" s="196" t="str">
        <f>'ΤΚ ΜΕΤΡΗΣΕΩΝ B01'!C15</f>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3" s="5" t="s">
        <v>440</v>
      </c>
      <c r="H3" s="5" t="s">
        <v>445</v>
      </c>
      <c r="I3" s="290">
        <f>J$3</f>
        <v>1</v>
      </c>
      <c r="J3" s="179">
        <v>1</v>
      </c>
      <c r="K3" s="262">
        <f>IF(ISNUMBER(J3),ROUND(J3,2),"")</f>
        <v>1</v>
      </c>
      <c r="L3" s="253" t="s">
        <v>947</v>
      </c>
      <c r="N3" s="94" t="str">
        <f>IF(O3="","","ΣΦΑΛΜΑ")</f>
        <v/>
      </c>
      <c r="O3" s="95" t="str">
        <f>CONCATENATE(IF(AND(ISNUMBER(J3)=FALSE),"Η Τιμή (Mbps) πρέπει να είναι αριθμός.",IF(J3&lt;0,"  |  Η Τιμή (Mbps) πρέπει να είναι θετικός αριθμός","")),IF(AND(J3&lt;&gt;"",F3=""),"   |   Το ΤΚ στο οποίο πραγματοποιήθηκαν μετρήσεις πρέπει να συμπληρωθεί",""),"")</f>
        <v/>
      </c>
    </row>
    <row r="4" spans="1:15" ht="30.75" customHeight="1" x14ac:dyDescent="0.25">
      <c r="A4" s="13" t="str">
        <f>$A$3</f>
        <v>Β01</v>
      </c>
      <c r="B4" s="14" t="str">
        <f t="shared" ref="B4:B18" si="0">$B$3</f>
        <v>VODAFONE</v>
      </c>
      <c r="C4" s="14" t="str">
        <f>$C$3</f>
        <v>Άμεση</v>
      </c>
      <c r="D4" s="211" t="str">
        <f>IF(N3="",$D$3,"")</f>
        <v>14212,14382,14250,14158,14174,14018,14202,14350,14166,14402,14140,14438,14444</v>
      </c>
      <c r="E4" s="211" t="str">
        <f>$E$3</f>
        <v>Κηφισιάς,Παύλου Μελά,Λαρισαίων,Ιωαννιτών,Καβάλας,Βέροιας,Καστοριάς,Ξυλοκάστρου - Ευρωστίνης,Κέρκυρας,Πατρέων,Θηβαίων,Σάμου,Σύρου - Ερμούπολης</v>
      </c>
      <c r="F4" s="49" t="str">
        <f t="shared" ref="F4:F10" si="1">$F$3</f>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4" s="5" t="s">
        <v>440</v>
      </c>
      <c r="H4" s="5" t="s">
        <v>446</v>
      </c>
      <c r="I4" s="292">
        <f>J$4</f>
        <v>24</v>
      </c>
      <c r="J4" s="180">
        <v>24</v>
      </c>
      <c r="K4" s="262">
        <f t="shared" ref="K4:K18" si="2">IF(ISNUMBER(J4),ROUND(J4,2),"")</f>
        <v>24</v>
      </c>
      <c r="L4" s="233" t="str">
        <f>L$3</f>
        <v>Οι μετρήσεις ξεκίνησαν 1/1/2018 και είχαν διάρκεια 5 μήνες. Λόγο προβλημάτων στις μετρήσεις πραγματοποιήθηκαν επιπλέον μετρήσεις τον Ιούνιο 2018</v>
      </c>
      <c r="N4" s="96" t="str">
        <f t="shared" ref="N4:N18" si="3">IF(O4="","","ΣΦΑΛΜΑ")</f>
        <v/>
      </c>
      <c r="O4" s="95" t="str">
        <f>CONCATENATE(IF(AND(ISNUMBER(J4)=FALSE),"Η Τιμή (Mbps) πρέπει να είναι αριθμός.",IF(J4&lt;0,"  |  Η Τιμή (Mbps) πρέπει να είναι θετικός αριθμός","")),IF(AND(J4&lt;&gt;"",F4=""),"   |   Το ΤΚ στο οποίο πραγματοποιήθηκαν μετρήσεις πρέπει να συμπληρωθεί",""),"")</f>
        <v/>
      </c>
    </row>
    <row r="5" spans="1:15" ht="30.75" customHeight="1" x14ac:dyDescent="0.25">
      <c r="A5" s="13" t="str">
        <f t="shared" ref="A5:A11" si="4">$A$3</f>
        <v>Β01</v>
      </c>
      <c r="B5" s="14" t="str">
        <f t="shared" si="0"/>
        <v>VODAFONE</v>
      </c>
      <c r="C5" s="14" t="str">
        <f t="shared" ref="C5:C10" si="5">$C$3</f>
        <v>Άμεση</v>
      </c>
      <c r="D5" s="211" t="str">
        <f t="shared" ref="D5:D10" si="6">IF(N4="",$D$3,"")</f>
        <v>14212,14382,14250,14158,14174,14018,14202,14350,14166,14402,14140,14438,14444</v>
      </c>
      <c r="E5" s="211" t="str">
        <f t="shared" ref="E5:E10" si="7">$E$3</f>
        <v>Κηφισιάς,Παύλου Μελά,Λαρισαίων,Ιωαννιτών,Καβάλας,Βέροιας,Καστοριάς,Ξυλοκάστρου - Ευρωστίνης,Κέρκυρας,Πατρέων,Θηβαίων,Σάμου,Σύρου - Ερμούπολης</v>
      </c>
      <c r="F5" s="49" t="str">
        <f t="shared" si="1"/>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5" s="7" t="s">
        <v>480</v>
      </c>
      <c r="H5" s="5" t="s">
        <v>445</v>
      </c>
      <c r="I5" s="290">
        <f>J$3</f>
        <v>1</v>
      </c>
      <c r="J5" s="180">
        <v>0.97599999999999998</v>
      </c>
      <c r="K5" s="262">
        <f t="shared" si="2"/>
        <v>0.98</v>
      </c>
      <c r="L5" s="233" t="str">
        <f t="shared" ref="L5:L18" si="8">L$3</f>
        <v>Οι μετρήσεις ξεκίνησαν 1/1/2018 και είχαν διάρκεια 5 μήνες. Λόγο προβλημάτων στις μετρήσεις πραγματοποιήθηκαν επιπλέον μετρήσεις τον Ιούνιο 2018</v>
      </c>
      <c r="N5" s="96" t="str">
        <f t="shared" si="3"/>
        <v/>
      </c>
      <c r="O5" s="95" t="str">
        <f>CONCATENATE(IF(AND(ISNUMBER(J5)=FALSE),"Η Τιμή (Mbps) πρέπει να είναι αριθμός.",IF(J5&lt;0,"  |  Η Τιμή (Mbps) πρέπει να είναι θετικός αριθμός","")),IF(AND(J5&lt;&gt;"",F5=""),"   |   Το ΤΚ στο οποίο πραγματοποιήθηκαν μετρήσεις πρέπει να συμπληρωθεί",""),IF(J5&lt;J9,"  |  Η τιμή του 5ου εκατοστημορίου πρέπει να είναι μικρότερη  της τιμής του 95ου εκατοστημορίου",""))</f>
        <v/>
      </c>
    </row>
    <row r="6" spans="1:15" ht="30.75" customHeight="1" x14ac:dyDescent="0.25">
      <c r="A6" s="13" t="str">
        <f t="shared" si="4"/>
        <v>Β01</v>
      </c>
      <c r="B6" s="14" t="str">
        <f t="shared" si="0"/>
        <v>VODAFONE</v>
      </c>
      <c r="C6" s="14" t="str">
        <f t="shared" si="5"/>
        <v>Άμεση</v>
      </c>
      <c r="D6" s="211" t="str">
        <f t="shared" si="6"/>
        <v>14212,14382,14250,14158,14174,14018,14202,14350,14166,14402,14140,14438,14444</v>
      </c>
      <c r="E6" s="211" t="str">
        <f t="shared" si="7"/>
        <v>Κηφισιάς,Παύλου Μελά,Λαρισαίων,Ιωαννιτών,Καβάλας,Βέροιας,Καστοριάς,Ξυλοκάστρου - Ευρωστίνης,Κέρκυρας,Πατρέων,Θηβαίων,Σάμου,Σύρου - Ερμούπολης</v>
      </c>
      <c r="F6" s="49" t="str">
        <f t="shared" si="1"/>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6" s="7" t="s">
        <v>480</v>
      </c>
      <c r="H6" s="5" t="s">
        <v>446</v>
      </c>
      <c r="I6" s="292">
        <f>J$4</f>
        <v>24</v>
      </c>
      <c r="J6" s="180">
        <v>19.736000000000001</v>
      </c>
      <c r="K6" s="262">
        <f t="shared" si="2"/>
        <v>19.739999999999998</v>
      </c>
      <c r="L6"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6" s="96" t="str">
        <f t="shared" si="3"/>
        <v/>
      </c>
      <c r="O6" s="95" t="str">
        <f>CONCATENATE(IF(AND(ISNUMBER(J6)=FALSE),"Η Τιμή (Mbps) πρέπει να είναι αριθμός.",IF(J6&lt;0,"  |  Η Τιμή (Mbps) πρέπει να είναι θετικός αριθμός","")),IF(AND(J6&lt;&gt;"",F6=""),"   |   Το ΤΚ στο οποίο πραγματοποιήθηκαν μετρήσεις πρέπει να συμπληρωθεί",""),IF(J6&lt;J10,"  |  Η τιμή του 5ου εκατοστημορίου πρέπει να είναι μικρότερη  της τιμής του 95ου εκατοστημορίου",""))</f>
        <v/>
      </c>
    </row>
    <row r="7" spans="1:15" ht="30.75" customHeight="1" x14ac:dyDescent="0.25">
      <c r="A7" s="13" t="str">
        <f t="shared" si="4"/>
        <v>Β01</v>
      </c>
      <c r="B7" s="14" t="str">
        <f t="shared" si="0"/>
        <v>VODAFONE</v>
      </c>
      <c r="C7" s="14" t="str">
        <f t="shared" si="5"/>
        <v>Άμεση</v>
      </c>
      <c r="D7" s="211" t="str">
        <f t="shared" si="6"/>
        <v>14212,14382,14250,14158,14174,14018,14202,14350,14166,14402,14140,14438,14444</v>
      </c>
      <c r="E7" s="211" t="str">
        <f t="shared" si="7"/>
        <v>Κηφισιάς,Παύλου Μελά,Λαρισαίων,Ιωαννιτών,Καβάλας,Βέροιας,Καστοριάς,Ξυλοκάστρου - Ευρωστίνης,Κέρκυρας,Πατρέων,Θηβαίων,Σάμου,Σύρου - Ερμούπολης</v>
      </c>
      <c r="F7" s="49" t="str">
        <f t="shared" si="1"/>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7" s="7" t="s">
        <v>441</v>
      </c>
      <c r="H7" s="5" t="s">
        <v>445</v>
      </c>
      <c r="I7" s="290">
        <f>J$3</f>
        <v>1</v>
      </c>
      <c r="J7" s="180">
        <v>0.92200000000000004</v>
      </c>
      <c r="K7" s="262">
        <f t="shared" si="2"/>
        <v>0.92</v>
      </c>
      <c r="L7"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7" s="96" t="str">
        <f t="shared" si="3"/>
        <v/>
      </c>
      <c r="O7" s="95" t="str">
        <f>CONCATENATE(IF(AND(ISNUMBER(J7)=FALSE),"Η Τιμή (Mbps) πρέπει να είναι αριθμός.",IF(J7&lt;0,"  |  Η Τιμή (Mbps) πρέπει να είναι θετικός αριθμός","")),IF(AND(J7&lt;&gt;"",F7=""),"   |   Το ΤΚ στο οποίο πραγματοποιήθηκαν μετρήσεις πρέπει να συμπληρωθεί",""))</f>
        <v/>
      </c>
    </row>
    <row r="8" spans="1:15" ht="30.75" customHeight="1" x14ac:dyDescent="0.25">
      <c r="A8" s="13" t="str">
        <f t="shared" si="4"/>
        <v>Β01</v>
      </c>
      <c r="B8" s="14" t="str">
        <f t="shared" si="0"/>
        <v>VODAFONE</v>
      </c>
      <c r="C8" s="14" t="str">
        <f t="shared" si="5"/>
        <v>Άμεση</v>
      </c>
      <c r="D8" s="211" t="str">
        <f t="shared" si="6"/>
        <v>14212,14382,14250,14158,14174,14018,14202,14350,14166,14402,14140,14438,14444</v>
      </c>
      <c r="E8" s="211" t="str">
        <f t="shared" si="7"/>
        <v>Κηφισιάς,Παύλου Μελά,Λαρισαίων,Ιωαννιτών,Καβάλας,Βέροιας,Καστοριάς,Ξυλοκάστρου - Ευρωστίνης,Κέρκυρας,Πατρέων,Θηβαίων,Σάμου,Σύρου - Ερμούπολης</v>
      </c>
      <c r="F8" s="49" t="str">
        <f t="shared" si="1"/>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8" s="7" t="s">
        <v>441</v>
      </c>
      <c r="H8" s="5" t="s">
        <v>446</v>
      </c>
      <c r="I8" s="292">
        <f>J$4</f>
        <v>24</v>
      </c>
      <c r="J8" s="180">
        <v>16.928999999999998</v>
      </c>
      <c r="K8" s="262">
        <f t="shared" si="2"/>
        <v>16.93</v>
      </c>
      <c r="L8"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8" s="96" t="str">
        <f t="shared" si="3"/>
        <v/>
      </c>
      <c r="O8" s="95" t="str">
        <f>CONCATENATE(IF(AND(ISNUMBER(J8)=FALSE),"Η Τιμή (Mbps) πρέπει να είναι αριθμός.",IF(J8&lt;0,"  |  Η Τιμή (Mbps) πρέπει να είναι θετικός αριθμός","")),IF(AND(J8&lt;&gt;"",F8=""),"   |   Το ΤΚ στο οποίο πραγματοποιήθηκαν μετρήσεις πρέπει να συμπληρωθεί",""))</f>
        <v/>
      </c>
    </row>
    <row r="9" spans="1:15" ht="30.75" customHeight="1" x14ac:dyDescent="0.25">
      <c r="A9" s="13" t="str">
        <f t="shared" si="4"/>
        <v>Β01</v>
      </c>
      <c r="B9" s="14" t="str">
        <f t="shared" si="0"/>
        <v>VODAFONE</v>
      </c>
      <c r="C9" s="14" t="str">
        <f t="shared" si="5"/>
        <v>Άμεση</v>
      </c>
      <c r="D9" s="211" t="str">
        <f t="shared" si="6"/>
        <v>14212,14382,14250,14158,14174,14018,14202,14350,14166,14402,14140,14438,14444</v>
      </c>
      <c r="E9" s="211" t="str">
        <f t="shared" si="7"/>
        <v>Κηφισιάς,Παύλου Μελά,Λαρισαίων,Ιωαννιτών,Καβάλας,Βέροιας,Καστοριάς,Ξυλοκάστρου - Ευρωστίνης,Κέρκυρας,Πατρέων,Θηβαίων,Σάμου,Σύρου - Ερμούπολης</v>
      </c>
      <c r="F9" s="49" t="str">
        <f t="shared" si="1"/>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9" s="7" t="s">
        <v>481</v>
      </c>
      <c r="H9" s="5" t="s">
        <v>445</v>
      </c>
      <c r="I9" s="290">
        <f>J$3</f>
        <v>1</v>
      </c>
      <c r="J9" s="180">
        <v>0.82399999999999995</v>
      </c>
      <c r="K9" s="262">
        <f t="shared" si="2"/>
        <v>0.82</v>
      </c>
      <c r="L9"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9" s="96" t="str">
        <f t="shared" si="3"/>
        <v/>
      </c>
      <c r="O9" s="95" t="str">
        <f>CONCATENATE(IF(AND(ISNUMBER(J9)=FALSE),"Η Τιμή (Mbps) πρέπει να είναι αριθμός.",IF(J9&lt;0,"  |  Η Τιμή (Mbps) πρέπει να είναι θετικός αριθμός","")),IF(AND(J9&lt;&gt;"",F9=""),"   |   Το ΤΚ στο οποίο πραγματοποιήθηκαν μετρήσεις πρέπει να συμπληρωθεί",""),IF(J5&lt;J9,"  |  Η τιμή του 5ου εκατοστημορίου πρέπει να είναι μικρότερη  της τιμής του 95ου εκατοστημορίου",""))</f>
        <v/>
      </c>
    </row>
    <row r="10" spans="1:15" ht="30.75" customHeight="1" thickBot="1" x14ac:dyDescent="0.3">
      <c r="A10" s="15" t="str">
        <f t="shared" si="4"/>
        <v>Β01</v>
      </c>
      <c r="B10" s="16" t="str">
        <f t="shared" si="0"/>
        <v>VODAFONE</v>
      </c>
      <c r="C10" s="16" t="str">
        <f t="shared" si="5"/>
        <v>Άμεση</v>
      </c>
      <c r="D10" s="215" t="str">
        <f t="shared" si="6"/>
        <v>14212,14382,14250,14158,14174,14018,14202,14350,14166,14402,14140,14438,14444</v>
      </c>
      <c r="E10" s="215" t="str">
        <f t="shared" si="7"/>
        <v>Κηφισιάς,Παύλου Μελά,Λαρισαίων,Ιωαννιτών,Καβάλας,Βέροιας,Καστοριάς,Ξυλοκάστρου - Ευρωστίνης,Κέρκυρας,Πατρέων,Θηβαίων,Σάμου,Σύρου - Ερμούπολης</v>
      </c>
      <c r="F10" s="48" t="str">
        <f t="shared" si="1"/>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10" s="6" t="s">
        <v>481</v>
      </c>
      <c r="H10" s="12" t="s">
        <v>446</v>
      </c>
      <c r="I10" s="294">
        <f>J$4</f>
        <v>24</v>
      </c>
      <c r="J10" s="181">
        <v>10.6</v>
      </c>
      <c r="K10" s="262">
        <f t="shared" si="2"/>
        <v>10.6</v>
      </c>
      <c r="L10"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10" s="96" t="str">
        <f t="shared" si="3"/>
        <v/>
      </c>
      <c r="O10" s="95" t="str">
        <f>CONCATENATE(IF(AND(ISNUMBER(J10)=FALSE),"Η Τιμή (Mbps) πρέπει να είναι αριθμός.",IF(J10&lt;0,"  |  Η Τιμή (Mbps) πρέπει να είναι θετικός αριθμός","")),IF(AND(J10&lt;&gt;"",F10=""),"   |   Το ΤΚ στο οποίο πραγματοποιήθηκαν μετρήσεις πρέπει να συμπληρωθεί",""),IF(J6&lt;J10,"  |  Η τιμή του 5ου εκατοστημορίου πρέπει να είναι μικρότερη  της τιμής του 95ου εκατοστημορίου",""))</f>
        <v/>
      </c>
    </row>
    <row r="11" spans="1:15" ht="30.75" customHeight="1" x14ac:dyDescent="0.25">
      <c r="A11" s="13" t="str">
        <f t="shared" si="4"/>
        <v>Β01</v>
      </c>
      <c r="B11" s="14" t="str">
        <f t="shared" si="0"/>
        <v>VODAFONE</v>
      </c>
      <c r="C11" s="59" t="str">
        <f>$C$3</f>
        <v>Άμεση</v>
      </c>
      <c r="D11" s="216" t="str">
        <f>IF(N11="",IF(ΓΕΝΙΚΑ!$B$16="ΝΑΙ",'ΤΚ ΜΕΤΡΗΣΕΩΝ B01'!K15,""),"")</f>
        <v/>
      </c>
      <c r="E11" s="216" t="str">
        <f>IF(ΓΕΝΙΚΑ!$B$16="ΝΑΙ",'ΤΚ ΜΕΤΡΗΣΕΩΝ B01'!L15,"")</f>
        <v/>
      </c>
      <c r="F11" s="196" t="str">
        <f>'ΤΚ ΜΕΤΡΗΣΕΩΝ B01'!H15</f>
        <v/>
      </c>
      <c r="G11" s="5" t="s">
        <v>440</v>
      </c>
      <c r="H11" s="5" t="s">
        <v>445</v>
      </c>
      <c r="I11" s="290">
        <f>J$11</f>
        <v>0</v>
      </c>
      <c r="J11" s="179"/>
      <c r="K11" s="262" t="str">
        <f t="shared" si="2"/>
        <v/>
      </c>
      <c r="L11"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11" s="96" t="str">
        <f t="shared" si="3"/>
        <v/>
      </c>
      <c r="O11" s="104" t="str">
        <f>IF(I11&lt;&gt;"",CONCATENATE(IF(AND(J11&lt;&gt;"",F11=""),"   |   Το ΤΚ στο οποίο πραγματοποιήθηκαν μετρήσεις πρέπει να συμπληρωθεί",""),""),"")</f>
        <v/>
      </c>
    </row>
    <row r="12" spans="1:15" ht="30.75" customHeight="1" x14ac:dyDescent="0.25">
      <c r="A12" s="13" t="str">
        <f>$A$3</f>
        <v>Β01</v>
      </c>
      <c r="B12" s="14" t="str">
        <f>$B$3</f>
        <v>VODAFONE</v>
      </c>
      <c r="C12" s="14" t="str">
        <f>$C$3</f>
        <v>Άμεση</v>
      </c>
      <c r="D12" s="211" t="str">
        <f>IF(N12="",$D$11,"")</f>
        <v/>
      </c>
      <c r="E12" s="211" t="str">
        <f>$E$11</f>
        <v/>
      </c>
      <c r="F12" s="49" t="str">
        <f t="shared" ref="F12:F18" si="9">$F$3</f>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12" s="5" t="s">
        <v>440</v>
      </c>
      <c r="H12" s="5" t="s">
        <v>446</v>
      </c>
      <c r="I12" s="292">
        <f>J$12</f>
        <v>0</v>
      </c>
      <c r="J12" s="180"/>
      <c r="K12" s="262" t="str">
        <f t="shared" si="2"/>
        <v/>
      </c>
      <c r="L12"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12" s="96" t="str">
        <f t="shared" si="3"/>
        <v/>
      </c>
      <c r="O12" s="104" t="str">
        <f>IF(I12&lt;&gt;"",CONCATENATE(IF(AND(J12&lt;&gt;"",F12=""),"   |   Το ΤΚ στο οποίο πραγματοποιήθηκαν μετρήσεις πρέπει να συμπληρωθεί",""),""),"")</f>
        <v/>
      </c>
    </row>
    <row r="13" spans="1:15" ht="30.75" customHeight="1" x14ac:dyDescent="0.25">
      <c r="A13" s="13" t="str">
        <f t="shared" ref="A13:A18" si="10">$A$3</f>
        <v>Β01</v>
      </c>
      <c r="B13" s="14" t="str">
        <f t="shared" si="0"/>
        <v>VODAFONE</v>
      </c>
      <c r="C13" s="14" t="str">
        <f t="shared" ref="C13:C18" si="11">$C$3</f>
        <v>Άμεση</v>
      </c>
      <c r="D13" s="211" t="str">
        <f t="shared" ref="D13:D18" si="12">IF(N13="",$D$11,"")</f>
        <v/>
      </c>
      <c r="E13" s="211" t="str">
        <f t="shared" ref="E13:E18" si="13">$E$11</f>
        <v/>
      </c>
      <c r="F13" s="49" t="str">
        <f t="shared" si="9"/>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13" s="7" t="s">
        <v>480</v>
      </c>
      <c r="H13" s="5" t="s">
        <v>445</v>
      </c>
      <c r="I13" s="290">
        <f>J$11</f>
        <v>0</v>
      </c>
      <c r="J13" s="180"/>
      <c r="K13" s="262" t="str">
        <f t="shared" si="2"/>
        <v/>
      </c>
      <c r="L13"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13" s="96" t="str">
        <f t="shared" si="3"/>
        <v/>
      </c>
      <c r="O13" s="104" t="str">
        <f>IF(J11&lt;&gt;"",CONCATENATE(IF(AND(ISNUMBER(J13)=FALSE),"Η Τιμή (Mbps) πρέπει να είναι αριθμός.",IF(J13&lt;0,"  |  Η Τιμή (Mbps) πρέπει να είναι θετικός αριθμός","")),IF(AND(J13&lt;&gt;"",F13=""),"   |   Το ΤΚ στο οποίο πραγματοποιήθηκαν μετρήσεις πρέπει να συμπληρωθεί",""),IF(J13&lt;J17,"  |  Η τιμή του 5ου εκατοστημορίου πρέπει να είναι μικρότερη  της τιμής του 95ου εκατοστημορίου","")),"")</f>
        <v/>
      </c>
    </row>
    <row r="14" spans="1:15" ht="30.75" customHeight="1" x14ac:dyDescent="0.25">
      <c r="A14" s="13" t="str">
        <f t="shared" si="10"/>
        <v>Β01</v>
      </c>
      <c r="B14" s="14" t="str">
        <f t="shared" si="0"/>
        <v>VODAFONE</v>
      </c>
      <c r="C14" s="14" t="str">
        <f t="shared" si="11"/>
        <v>Άμεση</v>
      </c>
      <c r="D14" s="211" t="str">
        <f t="shared" si="12"/>
        <v/>
      </c>
      <c r="E14" s="211" t="str">
        <f t="shared" si="13"/>
        <v/>
      </c>
      <c r="F14" s="49" t="str">
        <f t="shared" si="9"/>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14" s="7" t="s">
        <v>480</v>
      </c>
      <c r="H14" s="5" t="s">
        <v>446</v>
      </c>
      <c r="I14" s="292">
        <f>J$12</f>
        <v>0</v>
      </c>
      <c r="J14" s="180"/>
      <c r="K14" s="262" t="str">
        <f t="shared" si="2"/>
        <v/>
      </c>
      <c r="L14"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14" s="96" t="str">
        <f t="shared" si="3"/>
        <v/>
      </c>
      <c r="O14" s="104" t="str">
        <f>IF(J12&lt;&gt;"",CONCATENATE(IF(AND(ISNUMBER(J14)=FALSE),"Η Τιμή (Mbps) πρέπει να είναι αριθμός.",IF(J14&lt;0,"  |  Η Τιμή (Mbps) πρέπει να είναι θετικός αριθμός","")),IF(AND(J14&lt;&gt;"",F14=""),"   |   Το ΤΚ στο οποίο πραγματοποιήθηκαν μετρήσεις πρέπει να συμπληρωθεί",""),IF(J14&lt;J18,"  |  Η τιμή του 5ου εκατοστημορίου πρέπει να είναι μικρότερη  της τιμής του 95ου εκατοστημορίου","")),"")</f>
        <v/>
      </c>
    </row>
    <row r="15" spans="1:15" ht="30.75" customHeight="1" x14ac:dyDescent="0.25">
      <c r="A15" s="13" t="str">
        <f t="shared" si="10"/>
        <v>Β01</v>
      </c>
      <c r="B15" s="14" t="str">
        <f t="shared" si="0"/>
        <v>VODAFONE</v>
      </c>
      <c r="C15" s="14" t="str">
        <f t="shared" si="11"/>
        <v>Άμεση</v>
      </c>
      <c r="D15" s="211" t="str">
        <f t="shared" si="12"/>
        <v/>
      </c>
      <c r="E15" s="211" t="str">
        <f t="shared" si="13"/>
        <v/>
      </c>
      <c r="F15" s="49" t="str">
        <f t="shared" si="9"/>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15" s="7" t="s">
        <v>441</v>
      </c>
      <c r="H15" s="5" t="s">
        <v>445</v>
      </c>
      <c r="I15" s="290">
        <f>J$11</f>
        <v>0</v>
      </c>
      <c r="J15" s="180"/>
      <c r="K15" s="262" t="str">
        <f t="shared" si="2"/>
        <v/>
      </c>
      <c r="L15"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15" s="96" t="str">
        <f t="shared" si="3"/>
        <v/>
      </c>
      <c r="O15" s="104" t="str">
        <f>IF(J11&lt;&gt;"",CONCATENATE(IF(AND(ISNUMBER(J15)=FALSE),"Η Τιμή (Mbps) πρέπει να είναι αριθμός.",IF(J15&lt;0,"  |  Η Τιμή (Mbps) πρέπει να είναι θετικός αριθμός","")),IF(AND(J15&lt;&gt;"",F15=""),"   |   Το ΤΚ στο οποίο πραγματοποιήθηκαν μετρήσεις πρέπει να συμπληρωθεί",""),IF(OR(J13&lt;J15,J15&lt;J17),"  |  Η μέση τιμή πρέπει να είναι μεταξύ της τιμής του 5ου και της τιμής του 95ου εκατοστημορίου","")),"")</f>
        <v/>
      </c>
    </row>
    <row r="16" spans="1:15" ht="30.75" customHeight="1" x14ac:dyDescent="0.25">
      <c r="A16" s="13" t="str">
        <f t="shared" si="10"/>
        <v>Β01</v>
      </c>
      <c r="B16" s="14" t="str">
        <f t="shared" si="0"/>
        <v>VODAFONE</v>
      </c>
      <c r="C16" s="14" t="str">
        <f t="shared" si="11"/>
        <v>Άμεση</v>
      </c>
      <c r="D16" s="211" t="str">
        <f t="shared" si="12"/>
        <v/>
      </c>
      <c r="E16" s="211" t="str">
        <f t="shared" si="13"/>
        <v/>
      </c>
      <c r="F16" s="49" t="str">
        <f t="shared" si="9"/>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16" s="7" t="s">
        <v>441</v>
      </c>
      <c r="H16" s="5" t="s">
        <v>446</v>
      </c>
      <c r="I16" s="292">
        <f>J$12</f>
        <v>0</v>
      </c>
      <c r="J16" s="180"/>
      <c r="K16" s="262" t="str">
        <f t="shared" si="2"/>
        <v/>
      </c>
      <c r="L16"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16" s="96" t="str">
        <f t="shared" si="3"/>
        <v/>
      </c>
      <c r="O16" s="104" t="str">
        <f>IF(J12&lt;&gt;"",CONCATENATE(IF(AND(ISNUMBER(J16)=FALSE),"Η Τιμή (Mbps) πρέπει να είναι αριθμός.",IF(J16&lt;0,"  |  Η Τιμή (Mbps) πρέπει να είναι θετικός αριθμός","")),IF(AND(J16&lt;&gt;"",F16=""),"   |   Το ΤΚ στο οποίο πραγματοποιήθηκαν μετρήσεις πρέπει να συμπληρωθεί",""),IF(OR(J14&lt;J16,J16&lt;J18),"  |  Η μέση τιμή πρέπει να είναι μεταξύ της τιμής του 5ου και της τιμής του 95ου εκατοστημορίου","")),"")</f>
        <v/>
      </c>
    </row>
    <row r="17" spans="1:15" ht="30.75" customHeight="1" x14ac:dyDescent="0.25">
      <c r="A17" s="13" t="str">
        <f t="shared" si="10"/>
        <v>Β01</v>
      </c>
      <c r="B17" s="14" t="str">
        <f t="shared" si="0"/>
        <v>VODAFONE</v>
      </c>
      <c r="C17" s="14" t="str">
        <f t="shared" si="11"/>
        <v>Άμεση</v>
      </c>
      <c r="D17" s="211" t="str">
        <f t="shared" si="12"/>
        <v/>
      </c>
      <c r="E17" s="211" t="str">
        <f t="shared" si="13"/>
        <v/>
      </c>
      <c r="F17" s="49" t="str">
        <f t="shared" si="9"/>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17" s="7" t="s">
        <v>481</v>
      </c>
      <c r="H17" s="5" t="s">
        <v>445</v>
      </c>
      <c r="I17" s="293">
        <f>J$11</f>
        <v>0</v>
      </c>
      <c r="J17" s="180"/>
      <c r="K17" s="262" t="str">
        <f t="shared" si="2"/>
        <v/>
      </c>
      <c r="L17" s="233"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17" s="96" t="str">
        <f t="shared" si="3"/>
        <v/>
      </c>
      <c r="O17" s="104" t="str">
        <f>IF(J11&lt;&gt;"",CONCATENATE(IF(AND(ISNUMBER(J17)=FALSE),"Η Τιμή (Mbps) πρέπει να είναι αριθμός.",IF(J17&lt;0,"  |  Η Τιμή (Mbps) πρέπει να είναι θετικός αριθμός","")),IF(AND(J17&lt;&gt;"",F17=""),"   |   Το ΤΚ στο οποίο πραγματοποιήθηκαν μετρήσεις πρέπει να συμπληρωθεί",""),IF(J13&lt;J17,"  |  Η τιμή του 5ου εκατοστημορίου πρέπει να είναι μικρότερη  της τιμής του 95ου εκατοστημορίου","")),"")</f>
        <v/>
      </c>
    </row>
    <row r="18" spans="1:15" ht="30.75" customHeight="1" thickBot="1" x14ac:dyDescent="0.3">
      <c r="A18" s="15" t="str">
        <f t="shared" si="10"/>
        <v>Β01</v>
      </c>
      <c r="B18" s="16" t="str">
        <f t="shared" si="0"/>
        <v>VODAFONE</v>
      </c>
      <c r="C18" s="16" t="str">
        <f t="shared" si="11"/>
        <v>Άμεση</v>
      </c>
      <c r="D18" s="215" t="str">
        <f t="shared" si="12"/>
        <v/>
      </c>
      <c r="E18" s="215" t="str">
        <f t="shared" si="13"/>
        <v/>
      </c>
      <c r="F18" s="48" t="str">
        <f t="shared" si="9"/>
        <v>ΑΤΤΙΚΗΣ - ΚΗΦΙΣΙΑΣ,ΚΕΝΤΡΙΚΗΣ ΜΑΚΕΔΟΝΙΑΣ - ΠΑΥΛΟΥ ΜΕΛΑ,ΘΕΣΣΑΛΙΑΣ - ΛΑΡΙΣΑΙΩΝ,ΗΠΕΙΡΟΥ - ΙΩΑΝΝΙΤΩΝ,ΑΝΑΤΟΛΙΚΗΣ ΜΑΚΕΔΟΝΙΑΣ ΚΑΙ ΘΡΑΚΗΣ - ΚΑΒΑΛΑΣ,ΚΕΝΤΡΙΚΗΣ ΜΑΚΕΔΟΝΙΑΣ - ΒΕΡΟΙΑΣ,ΔΥΤΙΚΗΣ ΜΑΚΕΔΟΝΙΑΣ - ΚΑΣΤΟΡΙΑΣ,ΠΕΛΟΠΟΝΝΗΣΟΥ - ΞΥΛΟΚΑΣΤΡΟΥ – ΕΥΡΩΣΤΙΝΗΣ,ΙΟΝΙΩΝ ΝΗΣΩΝ - ΚΕΡΚΥΡΑΣ,ΔΥΤΙΚΗΣ ΕΛΛΑΔΑΣ - ΠΑΤΡΕΩΝ,ΣΤΕΡΕΑΣ ΕΛΛΑΔΑΣ - ΘΗΒΑΙΩΝ,ΒΟΡΕΙΟΥ ΑΙΓΑΙΟΥ - ΣΑΜΟΥ,ΝΟΤΙΟΥ ΑΙΓΑΙΟΥ - ΣΥΡΟΥ – ΕΡΜΟΥΠΟΛΗΣ</v>
      </c>
      <c r="G18" s="6" t="s">
        <v>481</v>
      </c>
      <c r="H18" s="12" t="s">
        <v>446</v>
      </c>
      <c r="I18" s="294">
        <f>J$12</f>
        <v>0</v>
      </c>
      <c r="J18" s="181"/>
      <c r="K18" s="262" t="str">
        <f t="shared" si="2"/>
        <v/>
      </c>
      <c r="L18" s="234" t="str">
        <f t="shared" si="8"/>
        <v>Οι μετρήσεις ξεκίνησαν 1/1/2018 και είχαν διάρκεια 5 μήνες. Λόγο προβλημάτων στις μετρήσεις πραγματοποιήθηκαν επιπλέον μετρήσεις τον Ιούνιο 2018</v>
      </c>
      <c r="N18" s="97" t="str">
        <f t="shared" si="3"/>
        <v/>
      </c>
      <c r="O18" s="105" t="str">
        <f>IF(J12&lt;&gt;"",CONCATENATE(IF(AND(ISNUMBER(J18)=FALSE),"Η Τιμή (Mbps) πρέπει να είναι αριθμός.",IF(J18&lt;0,"  |  Η Τιμή (Mbps) πρέπει να είναι θετικός αριθμός","")),IF(AND(J18&lt;&gt;"",F18=""),"   |   Το ΤΚ στο οποίο πραγματοποιήθηκαν μετρήσεις πρέπει να συμπληρωθεί",""),IF(J14&lt;J18,"  |  Η τιμή του 5ου εκατοστημορίου πρέπει να είναι μικρότερη  της τιμής του 95ου εκατοστημορίου","")),"")</f>
        <v/>
      </c>
    </row>
  </sheetData>
  <sheetProtection password="ECDD" sheet="1" objects="1" scenarios="1" formatColumns="0" formatRows="0" selectLockedCells="1"/>
  <conditionalFormatting sqref="N3">
    <cfRule type="cellIs" dxfId="13" priority="6" operator="equal">
      <formula>"ΣΦΑΛΜΑ"</formula>
    </cfRule>
  </conditionalFormatting>
  <conditionalFormatting sqref="N4:N18">
    <cfRule type="cellIs" dxfId="12" priority="5" operator="equal">
      <formula>"ΣΦΑΛΜΑ"</formula>
    </cfRule>
  </conditionalFormatting>
  <conditionalFormatting sqref="J8">
    <cfRule type="cellIs" dxfId="11" priority="3" operator="greaterThan">
      <formula>$J$6</formula>
    </cfRule>
    <cfRule type="cellIs" dxfId="10" priority="4" operator="lessThan">
      <formula>$J$10</formula>
    </cfRule>
  </conditionalFormatting>
  <conditionalFormatting sqref="J7">
    <cfRule type="cellIs" dxfId="9" priority="1" operator="greaterThan">
      <formula>$J$5</formula>
    </cfRule>
    <cfRule type="cellIs" dxfId="8" priority="2" operator="lessThan">
      <formula>$J$9</formula>
    </cfRule>
  </conditionalFormatting>
  <dataValidations count="5">
    <dataValidation type="list" allowBlank="1" showInputMessage="1" showErrorMessage="1" sqref="C3 C11">
      <formula1>ServiceType</formula1>
    </dataValidation>
    <dataValidation type="list" allowBlank="1" showInputMessage="1" showErrorMessage="1" sqref="G3:G18">
      <formula1>SpeedValue</formula1>
    </dataValidation>
    <dataValidation type="list" allowBlank="1" showInputMessage="1" showErrorMessage="1" sqref="H3:H18">
      <formula1>Direction_</formula1>
    </dataValidation>
    <dataValidation type="list" allowBlank="1" showInputMessage="1" showErrorMessage="1" sqref="J3 J11">
      <formula1>maxUp</formula1>
    </dataValidation>
    <dataValidation type="list" allowBlank="1" showInputMessage="1" showErrorMessage="1" sqref="J4 J12">
      <formula1>maxDown</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8"/>
  <sheetViews>
    <sheetView topLeftCell="F2" workbookViewId="0">
      <selection activeCell="L3" sqref="L3"/>
    </sheetView>
  </sheetViews>
  <sheetFormatPr defaultColWidth="0" defaultRowHeight="15" zeroHeight="1" x14ac:dyDescent="0.25"/>
  <cols>
    <col min="1" max="1" width="50" style="167" customWidth="1"/>
    <col min="2" max="5" width="23" style="167" hidden="1" customWidth="1"/>
    <col min="6" max="6" width="42.85546875" style="167" customWidth="1"/>
    <col min="7" max="7" width="23.28515625" style="167" customWidth="1"/>
    <col min="8" max="8" width="23.28515625" style="167" bestFit="1" customWidth="1"/>
    <col min="9" max="9" width="23.28515625" style="167" hidden="1" customWidth="1"/>
    <col min="10" max="10" width="23.28515625" style="167" customWidth="1"/>
    <col min="11" max="11" width="23.28515625" style="167" hidden="1" customWidth="1"/>
    <col min="12" max="12" width="23.28515625" style="167" customWidth="1"/>
    <col min="13" max="13" width="6.7109375" style="167" customWidth="1"/>
    <col min="14" max="14" width="11.85546875" style="167" customWidth="1"/>
    <col min="15" max="15" width="77" style="167" customWidth="1"/>
    <col min="16" max="16" width="0" style="167" hidden="1" customWidth="1"/>
    <col min="17" max="16384" width="9.140625" style="167" hidden="1"/>
  </cols>
  <sheetData>
    <row r="1" spans="1:15" ht="15.75" hidden="1" thickBot="1" x14ac:dyDescent="0.3">
      <c r="A1" t="s">
        <v>502</v>
      </c>
      <c r="B1" t="s">
        <v>501</v>
      </c>
      <c r="C1" s="79" t="s">
        <v>506</v>
      </c>
      <c r="D1" s="2" t="s">
        <v>900</v>
      </c>
      <c r="E1" s="2" t="s">
        <v>901</v>
      </c>
      <c r="F1" s="2" t="s">
        <v>513</v>
      </c>
      <c r="G1" s="2" t="s">
        <v>928</v>
      </c>
      <c r="H1" s="2" t="s">
        <v>516</v>
      </c>
      <c r="I1" s="2" t="s">
        <v>511</v>
      </c>
      <c r="J1" s="2" t="s">
        <v>516</v>
      </c>
      <c r="K1" s="2" t="s">
        <v>512</v>
      </c>
      <c r="L1" s="2" t="s">
        <v>509</v>
      </c>
      <c r="N1" s="61" t="s">
        <v>510</v>
      </c>
      <c r="O1" s="61" t="s">
        <v>510</v>
      </c>
    </row>
    <row r="2" spans="1:15" ht="45.75" thickBot="1" x14ac:dyDescent="0.3">
      <c r="A2" s="3" t="s">
        <v>422</v>
      </c>
      <c r="B2" s="4" t="s">
        <v>28</v>
      </c>
      <c r="C2" s="4" t="s">
        <v>545</v>
      </c>
      <c r="D2" s="4"/>
      <c r="E2" s="4"/>
      <c r="F2" s="4" t="s">
        <v>453</v>
      </c>
      <c r="G2" s="4" t="s">
        <v>443</v>
      </c>
      <c r="H2" s="4" t="s">
        <v>546</v>
      </c>
      <c r="I2" s="4" t="s">
        <v>546</v>
      </c>
      <c r="J2" s="4" t="s">
        <v>547</v>
      </c>
      <c r="K2" s="112" t="s">
        <v>547</v>
      </c>
      <c r="L2" s="22" t="s">
        <v>421</v>
      </c>
      <c r="N2" s="46" t="s">
        <v>452</v>
      </c>
      <c r="O2" s="103" t="s">
        <v>550</v>
      </c>
    </row>
    <row r="3" spans="1:15" ht="31.5" customHeight="1" thickTop="1" x14ac:dyDescent="0.25">
      <c r="A3" s="39" t="s">
        <v>454</v>
      </c>
      <c r="B3" s="67" t="str">
        <f>ΓΕΝΙΚΑ!C4</f>
        <v>VODAFONE</v>
      </c>
      <c r="C3" s="107" t="s">
        <v>552</v>
      </c>
      <c r="D3" s="107">
        <f>IF(N3="",IF(ΓΕΝΙΚΑ!$B$17="ΝΑΙ",15300,""),"")</f>
        <v>15300</v>
      </c>
      <c r="E3" s="107" t="str">
        <f>IF(ΓΕΝΙΚΑ!$B$17="ΝΑΙ","ΠΑΝΕΛΛΑΔΙΚΑ","")</f>
        <v>ΠΑΝΕΛΛΑΔΙΚΑ</v>
      </c>
      <c r="F3" s="18" t="s">
        <v>455</v>
      </c>
      <c r="G3" s="18" t="s">
        <v>445</v>
      </c>
      <c r="H3" s="108">
        <v>53586</v>
      </c>
      <c r="I3" s="296">
        <f>IF(ISNUMBER(H3),ROUND(H3,0),"")</f>
        <v>53586</v>
      </c>
      <c r="J3" s="111">
        <v>644490</v>
      </c>
      <c r="K3" s="296">
        <f>IF(ISNUMBER(J$3),ROUND(J$3,0),"")</f>
        <v>644490</v>
      </c>
      <c r="L3" s="241" t="s">
        <v>948</v>
      </c>
      <c r="N3" s="94" t="str">
        <f>IF(O3="","","ΣΦΑΛΜΑ")</f>
        <v/>
      </c>
      <c r="O3" s="95" t="str">
        <f>CONCATENATE(IF(J3="","",IF(ISNUMBER(J3)=FALSE,"  |  Το μέσο πλήθος τελικών χρηστών πρέπει να είναι αριθμός.",IF(J3&lt;0,"   |   Το μέσο πλήθος τελικών χρηστών πρέπει να είναι θετικός αριθμός",""))),IF(AND(ISNUMBER(H3)=FALSE),"   |    Η μέση χωρητικότητα (Mbps) πρέπει να είναι αριθμός.",IF(H3&lt;0,"   |   Η μέση χωρητικότητα (Mbps) πρέπει να είναι θετικός αριθμός","")))</f>
        <v/>
      </c>
    </row>
    <row r="4" spans="1:15" ht="31.5" customHeight="1" x14ac:dyDescent="0.25">
      <c r="A4" s="41" t="str">
        <f t="shared" ref="A4:B4" si="0">A3</f>
        <v>B02</v>
      </c>
      <c r="B4" s="65" t="str">
        <f t="shared" si="0"/>
        <v>VODAFONE</v>
      </c>
      <c r="C4" s="66" t="s">
        <v>552</v>
      </c>
      <c r="D4" s="107">
        <f>IF(N4="",IF(ΓΕΝΙΚΑ!$B$17="ΝΑΙ",15300,""),"")</f>
        <v>15300</v>
      </c>
      <c r="E4" s="107" t="str">
        <f>IF(ΓΕΝΙΚΑ!$B$17="ΝΑΙ","ΠΑΝΕΛΛΑΔΙΚΑ","")</f>
        <v>ΠΑΝΕΛΛΑΔΙΚΑ</v>
      </c>
      <c r="F4" s="63" t="s">
        <v>455</v>
      </c>
      <c r="G4" s="19" t="s">
        <v>446</v>
      </c>
      <c r="H4" s="109">
        <v>53585</v>
      </c>
      <c r="I4" s="296">
        <f t="shared" ref="I4:I8" si="1">IF(ISNUMBER(H4),ROUND(H4,0),"")</f>
        <v>53585</v>
      </c>
      <c r="J4" s="273">
        <f>$J$3</f>
        <v>644490</v>
      </c>
      <c r="K4" s="296">
        <f t="shared" ref="K4:K8" si="2">IF(ISNUMBER(J$3),ROUND(J$3,0),"")</f>
        <v>644490</v>
      </c>
      <c r="L4" s="235" t="str">
        <f>L$3</f>
        <v>Οι μετρήσεις αφορούν το πρώτο εξάμηνο του 2018 από 1/1 μέχρι και 30/06.</v>
      </c>
      <c r="N4" s="96" t="str">
        <f t="shared" ref="N4:N8" si="3">IF(O4="","","ΣΦΑΛΜΑ")</f>
        <v/>
      </c>
      <c r="O4" s="95" t="str">
        <f>CONCATENATE(IF(OR(NOT(ISNUMBER(J4)),J4=""),"Το μέσο πλήθος τελικών χρηστών πρέπει να είναι αριθμός.",IF(J4&lt;0,"   |   Το μέσο πλήθος τελικών χρηστών πρέπει να είναι θετικός αριθμός","")),IF(OR(NOT(ISNUMBER(H4)),H4=""),"   |    Η μέση χωρητικότητα (Mbps) πρέπει να είναι αριθμός.",IF(H4&lt;0,"   |   Η μέση χωρητικότητα (Mbps) πρέπει να είναι θετικός αριθμός","")))</f>
        <v/>
      </c>
    </row>
    <row r="5" spans="1:15" ht="31.5" customHeight="1" x14ac:dyDescent="0.25">
      <c r="A5" s="41" t="str">
        <f>A3</f>
        <v>B02</v>
      </c>
      <c r="B5" s="65" t="str">
        <f>B3</f>
        <v>VODAFONE</v>
      </c>
      <c r="C5" s="66" t="s">
        <v>552</v>
      </c>
      <c r="D5" s="107">
        <f>IF(N5="",IF(ΓΕΝΙΚΑ!$B$17="ΝΑΙ",15300,""),"")</f>
        <v>15300</v>
      </c>
      <c r="E5" s="107" t="str">
        <f>IF(ΓΕΝΙΚΑ!$B$17="ΝΑΙ","ΠΑΝΕΛΛΑΔΙΚΑ","")</f>
        <v>ΠΑΝΕΛΛΑΔΙΚΑ</v>
      </c>
      <c r="F5" s="63" t="s">
        <v>456</v>
      </c>
      <c r="G5" s="19" t="s">
        <v>445</v>
      </c>
      <c r="H5" s="109">
        <v>500000</v>
      </c>
      <c r="I5" s="296">
        <f t="shared" si="1"/>
        <v>500000</v>
      </c>
      <c r="J5" s="62">
        <f t="shared" ref="J5:J8" si="4">$J$3</f>
        <v>644490</v>
      </c>
      <c r="K5" s="296">
        <f t="shared" si="2"/>
        <v>644490</v>
      </c>
      <c r="L5" s="235" t="str">
        <f t="shared" ref="L5:L8" si="5">L$3</f>
        <v>Οι μετρήσεις αφορούν το πρώτο εξάμηνο του 2018 από 1/1 μέχρι και 30/06.</v>
      </c>
      <c r="N5" s="96" t="str">
        <f t="shared" si="3"/>
        <v/>
      </c>
      <c r="O5" s="95" t="str">
        <f t="shared" ref="O5:O8" si="6">CONCATENATE(IF(OR(NOT(ISNUMBER(J5)),J5=""),"Το μέσο πλήθος τελικών χρηστών πρέπει να είναι αριθμός.",IF(J5&lt;0,"   |   Το μέσο πλήθος τελικών χρηστών πρέπει να είναι θετικός αριθμός","")),IF(OR(NOT(ISNUMBER(H5)),H5=""),"   |    Η μέση χωρητικότητα (Mbps) πρέπει να είναι αριθμός.",IF(H5&lt;0,"   |   Η μέση χωρητικότητα (Mbps) πρέπει να είναι θετικός αριθμός","")))</f>
        <v/>
      </c>
    </row>
    <row r="6" spans="1:15" ht="31.5" customHeight="1" x14ac:dyDescent="0.25">
      <c r="A6" s="41" t="str">
        <f>A3</f>
        <v>B02</v>
      </c>
      <c r="B6" s="65" t="str">
        <f>B3</f>
        <v>VODAFONE</v>
      </c>
      <c r="C6" s="66" t="s">
        <v>552</v>
      </c>
      <c r="D6" s="107">
        <f>IF(N6="",IF(ΓΕΝΙΚΑ!$B$17="ΝΑΙ",15300,""),"")</f>
        <v>15300</v>
      </c>
      <c r="E6" s="107" t="str">
        <f>IF(ΓΕΝΙΚΑ!$B$17="ΝΑΙ","ΠΑΝΕΛΛΑΔΙΚΑ","")</f>
        <v>ΠΑΝΕΛΛΑΔΙΚΑ</v>
      </c>
      <c r="F6" s="63" t="s">
        <v>456</v>
      </c>
      <c r="G6" s="19" t="s">
        <v>446</v>
      </c>
      <c r="H6" s="109">
        <v>500000</v>
      </c>
      <c r="I6" s="296">
        <f t="shared" si="1"/>
        <v>500000</v>
      </c>
      <c r="J6" s="62">
        <f t="shared" si="4"/>
        <v>644490</v>
      </c>
      <c r="K6" s="296">
        <f t="shared" si="2"/>
        <v>644490</v>
      </c>
      <c r="L6" s="235" t="str">
        <f t="shared" si="5"/>
        <v>Οι μετρήσεις αφορούν το πρώτο εξάμηνο του 2018 από 1/1 μέχρι και 30/06.</v>
      </c>
      <c r="N6" s="96" t="str">
        <f t="shared" si="3"/>
        <v/>
      </c>
      <c r="O6" s="95" t="str">
        <f t="shared" si="6"/>
        <v/>
      </c>
    </row>
    <row r="7" spans="1:15" ht="31.5" customHeight="1" x14ac:dyDescent="0.25">
      <c r="A7" s="41" t="str">
        <f>A3</f>
        <v>B02</v>
      </c>
      <c r="B7" s="65" t="str">
        <f>B3</f>
        <v>VODAFONE</v>
      </c>
      <c r="C7" s="66" t="s">
        <v>552</v>
      </c>
      <c r="D7" s="107">
        <f>IF(N7="",IF(ΓΕΝΙΚΑ!$B$17="ΝΑΙ",15300,""),"")</f>
        <v>15300</v>
      </c>
      <c r="E7" s="107" t="str">
        <f>IF(ΓΕΝΙΚΑ!$B$17="ΝΑΙ","ΠΑΝΕΛΛΑΔΙΚΑ","")</f>
        <v>ΠΑΝΕΛΛΑΔΙΚΑ</v>
      </c>
      <c r="F7" s="63" t="s">
        <v>457</v>
      </c>
      <c r="G7" s="19" t="s">
        <v>445</v>
      </c>
      <c r="H7" s="109">
        <v>719901</v>
      </c>
      <c r="I7" s="296">
        <f t="shared" si="1"/>
        <v>719901</v>
      </c>
      <c r="J7" s="62">
        <f t="shared" si="4"/>
        <v>644490</v>
      </c>
      <c r="K7" s="296">
        <f t="shared" si="2"/>
        <v>644490</v>
      </c>
      <c r="L7" s="235" t="str">
        <f t="shared" si="5"/>
        <v>Οι μετρήσεις αφορούν το πρώτο εξάμηνο του 2018 από 1/1 μέχρι και 30/06.</v>
      </c>
      <c r="N7" s="96" t="str">
        <f t="shared" si="3"/>
        <v/>
      </c>
      <c r="O7" s="95" t="str">
        <f t="shared" si="6"/>
        <v/>
      </c>
    </row>
    <row r="8" spans="1:15" ht="31.5" customHeight="1" thickBot="1" x14ac:dyDescent="0.3">
      <c r="A8" s="42" t="str">
        <f>A3</f>
        <v>B02</v>
      </c>
      <c r="B8" s="68" t="str">
        <f>B3</f>
        <v>VODAFONE</v>
      </c>
      <c r="C8" s="69" t="s">
        <v>552</v>
      </c>
      <c r="D8" s="107">
        <f>IF(N8="",IF(ΓΕΝΙΚΑ!$B$17="ΝΑΙ",15300,""),"")</f>
        <v>15300</v>
      </c>
      <c r="E8" s="107" t="str">
        <f>IF(ΓΕΝΙΚΑ!$B$17="ΝΑΙ","ΠΑΝΕΛΛΑΔΙΚΑ","")</f>
        <v>ΠΑΝΕΛΛΑΔΙΚΑ</v>
      </c>
      <c r="F8" s="64" t="s">
        <v>457</v>
      </c>
      <c r="G8" s="20" t="s">
        <v>446</v>
      </c>
      <c r="H8" s="110">
        <v>16171488</v>
      </c>
      <c r="I8" s="296">
        <f t="shared" si="1"/>
        <v>16171488</v>
      </c>
      <c r="J8" s="70">
        <f t="shared" si="4"/>
        <v>644490</v>
      </c>
      <c r="K8" s="296">
        <f t="shared" si="2"/>
        <v>644490</v>
      </c>
      <c r="L8" s="263" t="str">
        <f t="shared" si="5"/>
        <v>Οι μετρήσεις αφορούν το πρώτο εξάμηνο του 2018 από 1/1 μέχρι και 30/06.</v>
      </c>
      <c r="N8" s="97" t="str">
        <f t="shared" si="3"/>
        <v/>
      </c>
      <c r="O8" s="106" t="str">
        <f t="shared" si="6"/>
        <v/>
      </c>
    </row>
  </sheetData>
  <sheetProtection algorithmName="SHA-512" hashValue="QYYihZkTOFT++lQsOuLqYVnyrw9ie8MeOoSJBtpZHxjV1C5zONNwiR72O9KcmXrHOPgXn1hQZY0p1zEmnmJpug==" saltValue="PyBDXWC4O7FLub30XDO17g==" spinCount="100000" sheet="1" objects="1" scenarios="1" formatColumns="0" formatRows="0" selectLockedCells="1"/>
  <conditionalFormatting sqref="N4:N8">
    <cfRule type="cellIs" dxfId="7" priority="1" operator="equal">
      <formula>"ΣΦΑΛΜΑ"</formula>
    </cfRule>
  </conditionalFormatting>
  <conditionalFormatting sqref="N3">
    <cfRule type="cellIs" dxfId="6" priority="2" operator="equal">
      <formula>"ΣΦΑΛΜΑ"</formula>
    </cfRule>
  </conditionalFormatting>
  <dataValidations disablePrompts="1" count="2">
    <dataValidation type="list" allowBlank="1" showInputMessage="1" showErrorMessage="1" sqref="G3:G8">
      <formula1>Direction</formula1>
    </dataValidation>
    <dataValidation type="list" allowBlank="1" showInputMessage="1" showErrorMessage="1" sqref="F3:F8">
      <formula1>Capacity</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
  <sheetViews>
    <sheetView topLeftCell="C2" zoomScaleNormal="100" workbookViewId="0">
      <selection activeCell="K3" sqref="K3"/>
    </sheetView>
  </sheetViews>
  <sheetFormatPr defaultColWidth="0" defaultRowHeight="15" zeroHeight="1" x14ac:dyDescent="0.25"/>
  <cols>
    <col min="1" max="1" width="50" style="167" customWidth="1"/>
    <col min="2" max="2" width="23" style="167" hidden="1" customWidth="1"/>
    <col min="3" max="3" width="23" style="167" customWidth="1"/>
    <col min="4" max="4" width="25.140625" style="212" hidden="1" customWidth="1"/>
    <col min="5" max="5" width="40" style="212" hidden="1" customWidth="1"/>
    <col min="6" max="6" width="37.7109375" style="167" customWidth="1"/>
    <col min="7" max="7" width="32.140625" style="252" hidden="1" customWidth="1"/>
    <col min="8" max="8" width="17.28515625" style="167" customWidth="1"/>
    <col min="9" max="9" width="36.140625" style="167" customWidth="1"/>
    <col min="10" max="10" width="24" style="167" hidden="1" customWidth="1"/>
    <col min="11" max="11" width="24" style="167" customWidth="1"/>
    <col min="12" max="12" width="5.42578125" style="167" customWidth="1"/>
    <col min="13" max="13" width="13" style="167" customWidth="1"/>
    <col min="14" max="14" width="82.5703125" style="167" customWidth="1"/>
    <col min="15" max="15" width="0" style="167" hidden="1" customWidth="1"/>
    <col min="16" max="16384" width="9.140625" style="167" hidden="1"/>
  </cols>
  <sheetData>
    <row r="1" spans="1:14" ht="15.75" hidden="1" thickBot="1" x14ac:dyDescent="0.3">
      <c r="A1" t="s">
        <v>502</v>
      </c>
      <c r="B1" t="s">
        <v>501</v>
      </c>
      <c r="C1" s="79" t="s">
        <v>503</v>
      </c>
      <c r="D1" s="209" t="s">
        <v>900</v>
      </c>
      <c r="E1" s="209" t="s">
        <v>901</v>
      </c>
      <c r="F1" s="79" t="s">
        <v>506</v>
      </c>
      <c r="G1" s="79" t="s">
        <v>925</v>
      </c>
      <c r="H1" s="79" t="s">
        <v>514</v>
      </c>
      <c r="I1" s="79" t="s">
        <v>516</v>
      </c>
      <c r="J1" s="79" t="s">
        <v>515</v>
      </c>
      <c r="K1" s="79" t="s">
        <v>509</v>
      </c>
      <c r="M1" t="s">
        <v>516</v>
      </c>
      <c r="N1" t="s">
        <v>516</v>
      </c>
    </row>
    <row r="2" spans="1:14" s="173" customFormat="1" ht="34.5" customHeight="1" thickBot="1" x14ac:dyDescent="0.3">
      <c r="A2" s="3" t="s">
        <v>422</v>
      </c>
      <c r="B2" s="4" t="s">
        <v>28</v>
      </c>
      <c r="C2" s="4" t="s">
        <v>433</v>
      </c>
      <c r="D2" s="210"/>
      <c r="E2" s="210"/>
      <c r="F2" s="4" t="s">
        <v>551</v>
      </c>
      <c r="G2" s="226" t="s">
        <v>924</v>
      </c>
      <c r="H2" s="4" t="s">
        <v>483</v>
      </c>
      <c r="I2" s="102" t="s">
        <v>549</v>
      </c>
      <c r="J2" s="81" t="s">
        <v>459</v>
      </c>
      <c r="K2" s="92" t="s">
        <v>421</v>
      </c>
      <c r="M2" s="99" t="s">
        <v>452</v>
      </c>
      <c r="N2" s="100" t="s">
        <v>550</v>
      </c>
    </row>
    <row r="3" spans="1:14" ht="30" customHeight="1" thickTop="1" x14ac:dyDescent="0.25">
      <c r="A3" s="73" t="s">
        <v>469</v>
      </c>
      <c r="B3" s="18" t="str">
        <f>ΓΕΝΙΚΑ!C4</f>
        <v>VODAFONE</v>
      </c>
      <c r="C3" s="91" t="s">
        <v>434</v>
      </c>
      <c r="D3" s="211"/>
      <c r="E3" s="211"/>
      <c r="F3" s="283" t="s">
        <v>933</v>
      </c>
      <c r="G3" s="232"/>
      <c r="H3" s="56" t="s">
        <v>484</v>
      </c>
      <c r="I3" s="138">
        <f>$I$5</f>
        <v>1.07</v>
      </c>
      <c r="J3" s="261">
        <f>IF(ISNUMBER(I$5),ROUND(I$5,2),"")</f>
        <v>1.07</v>
      </c>
      <c r="K3" s="236" t="s">
        <v>949</v>
      </c>
      <c r="M3" s="94" t="str">
        <f>IF(N3="","","ΣΦΑΛΜΑ")</f>
        <v/>
      </c>
      <c r="N3" s="95" t="str">
        <f>CONCATENATE(IF(AND(ISNUMBER(I3)=FALSE),"Το Ποσοστό Αποτυχημένων Κλήσεων πρέπει να είναι αριθμός.",IF(OR(I3&lt;0,I3&gt;100),"Η τιμή του ποσοστού πρέπει να είναι από 0 έως 100","")),IF(AND(I3&lt;&gt;"",F3=""),"   |   Το ΤΚ στο οποίο πραγματοποιήθηκαν μετρήσεις πρέπει να συμπληρωθεί",""),"")</f>
        <v/>
      </c>
    </row>
    <row r="4" spans="1:14" ht="30" customHeight="1" x14ac:dyDescent="0.25">
      <c r="A4" s="85" t="str">
        <f>$A$3</f>
        <v>B03</v>
      </c>
      <c r="B4" s="86" t="str">
        <f>$B$3</f>
        <v>VODAFONE</v>
      </c>
      <c r="C4" s="90" t="str">
        <f>$C$3</f>
        <v>Άμεση</v>
      </c>
      <c r="D4" s="211"/>
      <c r="E4" s="211"/>
      <c r="F4" s="284" t="s">
        <v>934</v>
      </c>
      <c r="G4" s="232"/>
      <c r="H4" s="56" t="str">
        <f t="shared" ref="H4" si="0">$H$3</f>
        <v>Εθνικές</v>
      </c>
      <c r="I4" s="135">
        <f>$I$5</f>
        <v>1.07</v>
      </c>
      <c r="J4" s="261">
        <f t="shared" ref="J4:J7" si="1">IF(ISNUMBER(I$5),ROUND(I$5,2),"")</f>
        <v>1.07</v>
      </c>
      <c r="K4" s="237" t="str">
        <f>$K$3</f>
        <v>Οι μετρήσεις ξεκίνησαν 1/1/2018 και είχαν διάρκεια 5 μήνες</v>
      </c>
      <c r="M4" s="96" t="str">
        <f t="shared" ref="M4:M12" si="2">IF(N4="","","ΣΦΑΛΜΑ")</f>
        <v/>
      </c>
      <c r="N4" s="95" t="str">
        <f>CONCATENATE(IF(AND(ISNUMBER(I4)=FALSE),"Το Ποσοστό Αποτυχημένων Κλήσεων πρέπει να είναι αριθμός.",IF(OR(I4&lt;0,I4&gt;100),"Η τιμή του ποσοστού πρέπει να είναι από 0 έως 100","")),"")</f>
        <v/>
      </c>
    </row>
    <row r="5" spans="1:14" ht="30" customHeight="1" x14ac:dyDescent="0.25">
      <c r="A5" s="85" t="str">
        <f>$A$3</f>
        <v>B03</v>
      </c>
      <c r="B5" s="86" t="str">
        <f t="shared" ref="B5:B12" si="3">$B$3</f>
        <v>VODAFONE</v>
      </c>
      <c r="C5" s="90" t="str">
        <f t="shared" ref="C5:C12" si="4">$C$3</f>
        <v>Άμεση</v>
      </c>
      <c r="D5" s="211">
        <v>15300</v>
      </c>
      <c r="E5" s="211" t="s">
        <v>552</v>
      </c>
      <c r="F5" s="285" t="s">
        <v>935</v>
      </c>
      <c r="G5" s="232" t="str">
        <f>CONCATENATE(F3,", ",F4,", ",F5,", ",F6,", ",F7)</f>
        <v>ΑΤΤΙΚΗΣ - ΚΗΦΙΣΙΑΣ, ΚΕΝΤΡΙΚΗΣ ΜΑΚΕΔΟΝΙΑΣ - ΠΑΥΛΟΥ ΜΕΛΑ, ΘΕΣΣΑΛΙΑΣ - ΛΑΡΙΣΑΙΩΝ, ΔΥΤΙΚΗΣ ΕΛΛΑΔΑΣ - ΠΑΤΡΕΩΝ, ΗΠΕΙΡΟΥ - ΙΩΑΝΝΙΤΩΝ</v>
      </c>
      <c r="H5" s="56" t="str">
        <f>$H$3</f>
        <v>Εθνικές</v>
      </c>
      <c r="I5" s="93">
        <v>1.07</v>
      </c>
      <c r="J5" s="261">
        <f t="shared" si="1"/>
        <v>1.07</v>
      </c>
      <c r="K5" s="238" t="str">
        <f t="shared" ref="K5:K12" si="5">$K$3</f>
        <v>Οι μετρήσεις ξεκίνησαν 1/1/2018 και είχαν διάρκεια 5 μήνες</v>
      </c>
      <c r="M5" s="96" t="str">
        <f t="shared" si="2"/>
        <v/>
      </c>
      <c r="N5" s="95" t="str">
        <f>CONCATENATE(IF(AND(ISNUMBER(I5)=FALSE),"Το Ποσοστό Αποτυχημένων Κλήσεων πρέπει να είναι αριθμός.",IF(OR(I5&lt;0,I5&gt;100),"Η τιμή του ποσοστού πρέπει να είναι από 0 έως 100","")),"")</f>
        <v/>
      </c>
    </row>
    <row r="6" spans="1:14" ht="30" customHeight="1" x14ac:dyDescent="0.25">
      <c r="A6" s="85" t="str">
        <f t="shared" ref="A6:A12" si="6">$A$3</f>
        <v>B03</v>
      </c>
      <c r="B6" s="86" t="str">
        <f t="shared" si="3"/>
        <v>VODAFONE</v>
      </c>
      <c r="C6" s="90" t="str">
        <f t="shared" si="4"/>
        <v>Άμεση</v>
      </c>
      <c r="D6" s="211"/>
      <c r="E6" s="211"/>
      <c r="F6" s="284" t="s">
        <v>942</v>
      </c>
      <c r="G6" s="232"/>
      <c r="H6" s="56" t="str">
        <f t="shared" ref="H6:H7" si="7">$H$3</f>
        <v>Εθνικές</v>
      </c>
      <c r="I6" s="135">
        <f t="shared" ref="I6:I7" si="8">$I$5</f>
        <v>1.07</v>
      </c>
      <c r="J6" s="261">
        <f t="shared" si="1"/>
        <v>1.07</v>
      </c>
      <c r="K6" s="238" t="str">
        <f t="shared" si="5"/>
        <v>Οι μετρήσεις ξεκίνησαν 1/1/2018 και είχαν διάρκεια 5 μήνες</v>
      </c>
      <c r="M6" s="96" t="str">
        <f t="shared" si="2"/>
        <v/>
      </c>
      <c r="N6" s="95" t="str">
        <f>CONCATENATE(IF(AND(ISNUMBER(I6)=FALSE),"Το Ποσοστό Αποτυχημένων Κλήσεων πρέπει να είναι αριθμός.",IF(OR(I6&lt;0,I6&gt;100),"Η τιμή του ποσοστού πρέπει να είναι από 0 έως 100","")),"")</f>
        <v/>
      </c>
    </row>
    <row r="7" spans="1:14" ht="30" customHeight="1" thickBot="1" x14ac:dyDescent="0.3">
      <c r="A7" s="85" t="str">
        <f t="shared" si="6"/>
        <v>B03</v>
      </c>
      <c r="B7" s="87" t="str">
        <f t="shared" si="3"/>
        <v>VODAFONE</v>
      </c>
      <c r="C7" s="90" t="str">
        <f t="shared" si="4"/>
        <v>Άμεση</v>
      </c>
      <c r="D7" s="211"/>
      <c r="E7" s="211"/>
      <c r="F7" s="286" t="s">
        <v>936</v>
      </c>
      <c r="G7" s="78"/>
      <c r="H7" s="78" t="str">
        <f t="shared" si="7"/>
        <v>Εθνικές</v>
      </c>
      <c r="I7" s="136">
        <f t="shared" si="8"/>
        <v>1.07</v>
      </c>
      <c r="J7" s="261">
        <f t="shared" si="1"/>
        <v>1.07</v>
      </c>
      <c r="K7" s="238" t="str">
        <f t="shared" si="5"/>
        <v>Οι μετρήσεις ξεκίνησαν 1/1/2018 και είχαν διάρκεια 5 μήνες</v>
      </c>
      <c r="M7" s="96" t="str">
        <f t="shared" si="2"/>
        <v/>
      </c>
      <c r="N7" s="95" t="str">
        <f>CONCATENATE(IF(AND(ISNUMBER(I7)=FALSE),"Το Ποσοστό Αποτυχημένων Κλήσεων πρέπει να είναι αριθμός.",IF(OR(I7&lt;0,I7&gt;100),"Η τιμή του ποσοστού πρέπει να είναι από 0 έως 100","")),"")</f>
        <v/>
      </c>
    </row>
    <row r="8" spans="1:14" ht="30" customHeight="1" x14ac:dyDescent="0.25">
      <c r="A8" s="85" t="str">
        <f t="shared" si="6"/>
        <v>B03</v>
      </c>
      <c r="B8" s="86" t="str">
        <f t="shared" si="3"/>
        <v>VODAFONE</v>
      </c>
      <c r="C8" s="90" t="str">
        <f t="shared" si="4"/>
        <v>Άμεση</v>
      </c>
      <c r="D8" s="211"/>
      <c r="E8" s="211"/>
      <c r="F8" s="287" t="str">
        <f>TEXT(F3,)</f>
        <v>ΑΤΤΙΚΗΣ - ΚΗΦΙΣΙΑΣ</v>
      </c>
      <c r="G8" s="232"/>
      <c r="H8" s="56" t="s">
        <v>485</v>
      </c>
      <c r="I8" s="135">
        <f>$I$10</f>
        <v>18.579999999999998</v>
      </c>
      <c r="J8" s="261">
        <f>IF(ISNUMBER(I$10),ROUND(I$10,2),"")</f>
        <v>18.579999999999998</v>
      </c>
      <c r="K8" s="238" t="str">
        <f t="shared" si="5"/>
        <v>Οι μετρήσεις ξεκίνησαν 1/1/2018 και είχαν διάρκεια 5 μήνες</v>
      </c>
      <c r="M8" s="96" t="str">
        <f t="shared" si="2"/>
        <v/>
      </c>
      <c r="N8" s="95" t="str">
        <f>CONCATENATE(IF(AND(ISNUMBER(I8)=FALSE),"Το Ποσοστό Αποτυχημένων Κλήσεων πρέπει να είναι αριθμός.",IF(OR(I8&lt;0,I8&gt;100),"Η τιμή του ποσοστού πρέπει να είναι από 0 έως 100","")),IF(AND(I8&lt;&gt;"",F8=""),"   |   Το ΤΚ στο οποίο πραγματοποιήθηκαν μετρήσεις πρέπει να συμπληρωθεί",""),"")</f>
        <v/>
      </c>
    </row>
    <row r="9" spans="1:14" ht="30" customHeight="1" x14ac:dyDescent="0.25">
      <c r="A9" s="85" t="str">
        <f t="shared" si="6"/>
        <v>B03</v>
      </c>
      <c r="B9" s="86" t="str">
        <f t="shared" si="3"/>
        <v>VODAFONE</v>
      </c>
      <c r="C9" s="90" t="str">
        <f t="shared" si="4"/>
        <v>Άμεση</v>
      </c>
      <c r="D9" s="211"/>
      <c r="E9" s="211"/>
      <c r="F9" s="287" t="str">
        <f t="shared" ref="F9:F12" si="9">TEXT(F4,)</f>
        <v>ΚΕΝΤΡΙΚΗΣ ΜΑΚΕΔΟΝΙΑΣ - ΠΑΥΛΟΥ ΜΕΛΑ</v>
      </c>
      <c r="G9" s="232"/>
      <c r="H9" s="56" t="str">
        <f>$H$8</f>
        <v>Διεθνείς</v>
      </c>
      <c r="I9" s="135">
        <f>$I$10</f>
        <v>18.579999999999998</v>
      </c>
      <c r="J9" s="261">
        <f t="shared" ref="J9:J12" si="10">IF(ISNUMBER(I$10),ROUND(I$10,2),"")</f>
        <v>18.579999999999998</v>
      </c>
      <c r="K9" s="238" t="str">
        <f t="shared" si="5"/>
        <v>Οι μετρήσεις ξεκίνησαν 1/1/2018 και είχαν διάρκεια 5 μήνες</v>
      </c>
      <c r="M9" s="96" t="str">
        <f t="shared" si="2"/>
        <v/>
      </c>
      <c r="N9" s="95" t="str">
        <f>CONCATENATE(IF(AND(ISNUMBER(I9)=FALSE),"Το Ποσοστό Αποτυχημένων Κλήσεων πρέπει να είναι αριθμός.",IF(OR(I9&lt;0,I9&gt;100),"Η τιμή του ποσοστού πρέπει να είναι από 0 έως 100","")),"")</f>
        <v/>
      </c>
    </row>
    <row r="10" spans="1:14" ht="30" customHeight="1" x14ac:dyDescent="0.25">
      <c r="A10" s="85" t="str">
        <f t="shared" si="6"/>
        <v>B03</v>
      </c>
      <c r="B10" s="86" t="str">
        <f t="shared" si="3"/>
        <v>VODAFONE</v>
      </c>
      <c r="C10" s="90" t="str">
        <f t="shared" si="4"/>
        <v>Άμεση</v>
      </c>
      <c r="D10" s="211">
        <v>15300</v>
      </c>
      <c r="E10" s="211" t="s">
        <v>552</v>
      </c>
      <c r="F10" s="287" t="str">
        <f t="shared" si="9"/>
        <v>ΘΕΣΣΑΛΙΑΣ - ΛΑΡΙΣΑΙΩΝ</v>
      </c>
      <c r="G10" s="232" t="str">
        <f>G5</f>
        <v>ΑΤΤΙΚΗΣ - ΚΗΦΙΣΙΑΣ, ΚΕΝΤΡΙΚΗΣ ΜΑΚΕΔΟΝΙΑΣ - ΠΑΥΛΟΥ ΜΕΛΑ, ΘΕΣΣΑΛΙΑΣ - ΛΑΡΙΣΑΙΩΝ, ΔΥΤΙΚΗΣ ΕΛΛΑΔΑΣ - ΠΑΤΡΕΩΝ, ΗΠΕΙΡΟΥ - ΙΩΑΝΝΙΤΩΝ</v>
      </c>
      <c r="H10" s="56" t="str">
        <f t="shared" ref="H10:H12" si="11">$H$8</f>
        <v>Διεθνείς</v>
      </c>
      <c r="I10" s="93">
        <v>18.579999999999998</v>
      </c>
      <c r="J10" s="261">
        <f t="shared" si="10"/>
        <v>18.579999999999998</v>
      </c>
      <c r="K10" s="238" t="str">
        <f t="shared" si="5"/>
        <v>Οι μετρήσεις ξεκίνησαν 1/1/2018 και είχαν διάρκεια 5 μήνες</v>
      </c>
      <c r="M10" s="96" t="str">
        <f t="shared" si="2"/>
        <v/>
      </c>
      <c r="N10" s="95" t="str">
        <f>CONCATENATE(IF(AND(ISNUMBER(I10)=FALSE),"Το Ποσοστό Αποτυχημένων Κλήσεων πρέπει να είναι αριθμός.",IF(OR(I10&lt;0,I10&gt;100),"Η τιμή του ποσοστού πρέπει να είναι από 0 έως 100","")),"")</f>
        <v/>
      </c>
    </row>
    <row r="11" spans="1:14" ht="30" customHeight="1" x14ac:dyDescent="0.25">
      <c r="A11" s="85" t="str">
        <f t="shared" si="6"/>
        <v>B03</v>
      </c>
      <c r="B11" s="88" t="str">
        <f t="shared" si="3"/>
        <v>VODAFONE</v>
      </c>
      <c r="C11" s="90" t="str">
        <f t="shared" si="4"/>
        <v>Άμεση</v>
      </c>
      <c r="D11" s="211"/>
      <c r="E11" s="211"/>
      <c r="F11" s="288" t="str">
        <f t="shared" si="9"/>
        <v>ΔΥΤΙΚΗΣ ΕΛΛΑΔΑΣ - ΠΑΤΡΕΩΝ</v>
      </c>
      <c r="G11" s="71"/>
      <c r="H11" s="71" t="str">
        <f t="shared" si="11"/>
        <v>Διεθνείς</v>
      </c>
      <c r="I11" s="135">
        <f t="shared" ref="I11:I12" si="12">$I$10</f>
        <v>18.579999999999998</v>
      </c>
      <c r="J11" s="261">
        <f t="shared" si="10"/>
        <v>18.579999999999998</v>
      </c>
      <c r="K11" s="238" t="str">
        <f t="shared" si="5"/>
        <v>Οι μετρήσεις ξεκίνησαν 1/1/2018 και είχαν διάρκεια 5 μήνες</v>
      </c>
      <c r="M11" s="96" t="str">
        <f t="shared" si="2"/>
        <v/>
      </c>
      <c r="N11" s="95" t="str">
        <f>CONCATENATE(IF(AND(ISNUMBER(I11)=FALSE),"Το Ποσοστό Αποτυχημένων Κλήσεων πρέπει να είναι αριθμός.",IF(OR(I11&lt;0,I11&gt;100),"Η τιμή του ποσοστού πρέπει να είναι από 0 έως 100","")),"")</f>
        <v/>
      </c>
    </row>
    <row r="12" spans="1:14" ht="30" customHeight="1" thickBot="1" x14ac:dyDescent="0.3">
      <c r="A12" s="75" t="str">
        <f t="shared" si="6"/>
        <v>B03</v>
      </c>
      <c r="B12" s="89" t="str">
        <f t="shared" si="3"/>
        <v>VODAFONE</v>
      </c>
      <c r="C12" s="77" t="str">
        <f t="shared" si="4"/>
        <v>Άμεση</v>
      </c>
      <c r="D12" s="211"/>
      <c r="E12" s="211"/>
      <c r="F12" s="289" t="str">
        <f t="shared" si="9"/>
        <v>ΗΠΕΙΡΟΥ - ΙΩΑΝΝΙΤΩΝ</v>
      </c>
      <c r="G12" s="282"/>
      <c r="H12" s="101" t="str">
        <f t="shared" si="11"/>
        <v>Διεθνείς</v>
      </c>
      <c r="I12" s="137">
        <f t="shared" si="12"/>
        <v>18.579999999999998</v>
      </c>
      <c r="J12" s="261">
        <f t="shared" si="10"/>
        <v>18.579999999999998</v>
      </c>
      <c r="K12" s="239" t="str">
        <f t="shared" si="5"/>
        <v>Οι μετρήσεις ξεκίνησαν 1/1/2018 και είχαν διάρκεια 5 μήνες</v>
      </c>
      <c r="M12" s="97" t="str">
        <f t="shared" si="2"/>
        <v/>
      </c>
      <c r="N12" s="98" t="str">
        <f>CONCATENATE(IF(AND(ISNUMBER(I12)=FALSE),"Το Ποσοστό Αποτυχημένων Κλήσεων πρέπει να είναι αριθμός.",IF(OR(I12&lt;0,I12&gt;100),"Η τιμή του ποσοστού πρέπει να είναι από 0 έως 100","")),"")</f>
        <v/>
      </c>
    </row>
  </sheetData>
  <sheetProtection algorithmName="SHA-512" hashValue="oSxwgobWyIXmXecg/eNGeWYJW4xkjybElh0O7u8/E+dWzhzNhRU58Zt0UsQPzMlJ2v2Hw10/KUVpt36Nev3nUQ==" saltValue="5/erohRfPyCbnNSnbE2Shg==" spinCount="100000" sheet="1" objects="1" scenarios="1" formatColumns="0" formatRows="0" selectLockedCells="1"/>
  <conditionalFormatting sqref="M3:M12">
    <cfRule type="cellIs" dxfId="5" priority="1" operator="equal">
      <formula>"ΣΦΑΛΜΑ"</formula>
    </cfRule>
  </conditionalFormatting>
  <dataValidations count="3">
    <dataValidation type="list" allowBlank="1" showInputMessage="1" showErrorMessage="1" sqref="C3:C11">
      <formula1>ServiceType</formula1>
    </dataValidation>
    <dataValidation type="list" allowBlank="1" showInputMessage="1" showErrorMessage="1" sqref="H3:H12">
      <formula1>CallType</formula1>
    </dataValidation>
    <dataValidation type="list" allowBlank="1" showInputMessage="1" showErrorMessage="1" sqref="F3:F7">
      <formula1>TK</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
  <sheetViews>
    <sheetView topLeftCell="I2" workbookViewId="0">
      <selection activeCell="M5" sqref="M5"/>
    </sheetView>
  </sheetViews>
  <sheetFormatPr defaultColWidth="0" defaultRowHeight="15" zeroHeight="1" x14ac:dyDescent="0.25"/>
  <cols>
    <col min="1" max="1" width="50" style="167" customWidth="1"/>
    <col min="2" max="2" width="23" style="167" hidden="1" customWidth="1"/>
    <col min="3" max="3" width="23" style="167" customWidth="1"/>
    <col min="4" max="4" width="33.28515625" style="167" customWidth="1"/>
    <col min="5" max="6" width="33.28515625" style="167" hidden="1" customWidth="1"/>
    <col min="7" max="7" width="41.85546875" style="167" customWidth="1"/>
    <col min="8" max="8" width="23" style="167" customWidth="1"/>
    <col min="9" max="9" width="16" style="167" customWidth="1"/>
    <col min="10" max="10" width="32" style="167" customWidth="1"/>
    <col min="11" max="12" width="23.7109375" style="167" hidden="1" customWidth="1"/>
    <col min="13" max="13" width="17.28515625" style="167" customWidth="1"/>
    <col min="14" max="14" width="40.42578125" style="167" customWidth="1"/>
    <col min="15" max="15" width="6.28515625" style="174" customWidth="1"/>
    <col min="16" max="16" width="13.42578125" style="167" customWidth="1"/>
    <col min="17" max="17" width="69.85546875" style="167" customWidth="1"/>
    <col min="18" max="18" width="56.42578125" style="167" hidden="1" customWidth="1"/>
    <col min="19" max="16384" width="9.140625" style="167" hidden="1"/>
  </cols>
  <sheetData>
    <row r="1" spans="1:17" ht="15.75" hidden="1" customHeight="1" thickBot="1" x14ac:dyDescent="0.3">
      <c r="A1" t="s">
        <v>502</v>
      </c>
      <c r="B1" t="s">
        <v>501</v>
      </c>
      <c r="C1" s="79" t="s">
        <v>503</v>
      </c>
      <c r="D1" s="79" t="s">
        <v>507</v>
      </c>
      <c r="E1" s="2" t="s">
        <v>900</v>
      </c>
      <c r="F1" s="2" t="s">
        <v>901</v>
      </c>
      <c r="G1" s="2" t="s">
        <v>506</v>
      </c>
      <c r="H1" s="2" t="s">
        <v>505</v>
      </c>
      <c r="I1" s="79" t="s">
        <v>516</v>
      </c>
      <c r="J1" s="72" t="s">
        <v>516</v>
      </c>
      <c r="K1" s="79" t="s">
        <v>517</v>
      </c>
      <c r="L1" t="s">
        <v>518</v>
      </c>
      <c r="M1" t="s">
        <v>519</v>
      </c>
      <c r="N1" t="s">
        <v>509</v>
      </c>
      <c r="P1" s="72" t="s">
        <v>516</v>
      </c>
      <c r="Q1" s="72" t="s">
        <v>516</v>
      </c>
    </row>
    <row r="2" spans="1:17" ht="45" customHeight="1" thickBot="1" x14ac:dyDescent="0.3">
      <c r="A2" s="3" t="s">
        <v>422</v>
      </c>
      <c r="B2" s="4" t="s">
        <v>28</v>
      </c>
      <c r="C2" s="4" t="s">
        <v>433</v>
      </c>
      <c r="D2" s="4" t="s">
        <v>920</v>
      </c>
      <c r="E2" s="4"/>
      <c r="F2" s="4"/>
      <c r="G2" s="4" t="s">
        <v>553</v>
      </c>
      <c r="H2" s="4" t="s">
        <v>554</v>
      </c>
      <c r="I2" s="4" t="s">
        <v>461</v>
      </c>
      <c r="J2" s="4" t="s">
        <v>555</v>
      </c>
      <c r="K2" s="81" t="s">
        <v>429</v>
      </c>
      <c r="L2" s="81" t="s">
        <v>520</v>
      </c>
      <c r="M2" s="81" t="s">
        <v>423</v>
      </c>
      <c r="N2" s="92" t="s">
        <v>421</v>
      </c>
      <c r="O2" s="175"/>
      <c r="P2" s="121" t="s">
        <v>452</v>
      </c>
      <c r="Q2" s="103" t="s">
        <v>550</v>
      </c>
    </row>
    <row r="3" spans="1:17" ht="42.75" customHeight="1" thickTop="1" x14ac:dyDescent="0.25">
      <c r="A3" s="73" t="s">
        <v>460</v>
      </c>
      <c r="B3" s="74" t="str">
        <f>ΓΕΝΙΚΑ!C4</f>
        <v>VODAFONE</v>
      </c>
      <c r="C3" s="177" t="s">
        <v>434</v>
      </c>
      <c r="D3" s="118">
        <v>1</v>
      </c>
      <c r="E3" s="205">
        <f>IF(P3="",IF(ΓΕΝΙΚΑ!$B$19="ΝΑΙ",_xlfn.IFNA(INDEX(OrchardIDnai,MATCH(G3,DimosNameNai,0)),""),""),"")</f>
        <v>14212</v>
      </c>
      <c r="F3" s="205" t="str">
        <f>IF(ΓΕΝΙΚΑ!$B$19="ΝΑΙ",_xlfn.IFNA(INDEX(OrchardNameNai,MATCH(G3,DimosNameNai,0)),""),"")</f>
        <v>Κηφισιάς</v>
      </c>
      <c r="G3" s="126" t="s">
        <v>933</v>
      </c>
      <c r="H3" s="113" t="s">
        <v>445</v>
      </c>
      <c r="I3" s="128" t="s">
        <v>430</v>
      </c>
      <c r="J3" s="128"/>
      <c r="K3" s="178" t="str">
        <f>IF(I3="","",IF(I3="Άλλο",IF(J3="","",J3),TEXT(I3,)))</f>
        <v>POTS</v>
      </c>
      <c r="L3" s="117">
        <f t="shared" ref="L3" si="0">IF(M3="ΠΟΛΥ ΥΨΗΛΗ", 5,IF(M3="ΥΨΗΛΗ",4,IF(M3="ΜΕΣΗ",3,IF(M3="ΧΑΜΗΛΗ",2,IF(M3="ΠΟΛΥ ΧΑΜΗΛΗ",1,0)))))</f>
        <v>5</v>
      </c>
      <c r="M3" s="128" t="s">
        <v>424</v>
      </c>
      <c r="N3" s="183" t="s">
        <v>949</v>
      </c>
      <c r="O3" s="176"/>
      <c r="P3" s="122" t="str">
        <f t="shared" ref="P3:P6" si="1">IF(Q3="","","ΣΦΑΛΜΑ")</f>
        <v/>
      </c>
      <c r="Q3" s="140" t="str">
        <f>CONCATENATE(IF(G3="","Το πεδίο ΤΚ Τερματικό Σημείο, δεν μπορεί να είναι κενό",""),IF(K3=""," | Πρέπει να επιλεγεί ο Τύπος Τερματικής συσκευής",""),IF(M3="","  |  Το πεδίο Ποιότητα δεν μπορεί να είναι κενό",""))</f>
        <v/>
      </c>
    </row>
    <row r="4" spans="1:17" ht="42.75" customHeight="1" x14ac:dyDescent="0.25">
      <c r="A4" s="85" t="e">
        <f>#REF!</f>
        <v>#REF!</v>
      </c>
      <c r="B4" s="116" t="str">
        <f>B3</f>
        <v>VODAFONE</v>
      </c>
      <c r="C4" s="90" t="str">
        <f>C$3</f>
        <v>Άμεση</v>
      </c>
      <c r="D4" s="119">
        <v>1</v>
      </c>
      <c r="E4" s="206">
        <f>IF(P4="",IF(ΓΕΝΙΚΑ!$B$19="ΝΑΙ",_xlfn.IFNA(INDEX(OrchardIDnai,MATCH(G4,DimosNameNai,0)),""),""),"")</f>
        <v>13946</v>
      </c>
      <c r="F4" s="207" t="str">
        <f>IF(ΓΕΝΙΚΑ!$B$19="ΝΑΙ",_xlfn.IFNA(INDEX(OrchardNameNai,MATCH(G4,DimosNameNai,0)),""),"")</f>
        <v>Αθηναίων</v>
      </c>
      <c r="G4" s="126" t="s">
        <v>950</v>
      </c>
      <c r="H4" s="115" t="s">
        <v>446</v>
      </c>
      <c r="I4" s="7" t="str">
        <f>TEXT(I$3,)</f>
        <v>POTS</v>
      </c>
      <c r="J4" s="7" t="str">
        <f t="shared" ref="J4" si="2">TEXT(J$3,)</f>
        <v/>
      </c>
      <c r="K4" s="7" t="str">
        <f t="shared" ref="K4:K6" si="3">IF(I4="","",IF(I4="Άλλο",IF(J4="","",J4),TEXT(I4,)))</f>
        <v>POTS</v>
      </c>
      <c r="L4" s="7">
        <f>IF(M4="ΠΟΛΥ ΥΨΗΛΗ", 5,IF(M4="ΥΨΗΛΗ",4,IF(M4="ΜΕΣΗ",3,IF(M4="ΧΑΜΗΛΗ",2,IF(M4="ΠΟΛΥ ΧΑΜΗΛΗ",1,0)))))</f>
        <v>5</v>
      </c>
      <c r="M4" s="58" t="str">
        <f>TEXT(M$3,)</f>
        <v>ΠΟΛΥ ΥΨΗΛΗ</v>
      </c>
      <c r="N4" s="242" t="e">
        <f>#REF!</f>
        <v>#REF!</v>
      </c>
      <c r="O4" s="176"/>
      <c r="P4" s="122" t="str">
        <f t="shared" si="1"/>
        <v/>
      </c>
      <c r="Q4" s="140" t="str">
        <f>CONCATENATE(IF(G4="","Το πεδίο ΤΚ Τερματικό Σημείο, δεν μπορεί να είναι κενό",""),IF(K4=""," | Πρέπει να επιλεγεί ο Τύπος Τερματικής συσκευής",""),IF(M4="","  |  Το πεδίο Ποιότητα δεν μπορεί να είναι κενό",""))</f>
        <v/>
      </c>
    </row>
    <row r="5" spans="1:17" ht="42.75" customHeight="1" x14ac:dyDescent="0.25">
      <c r="A5" s="85" t="e">
        <f>#REF!</f>
        <v>#REF!</v>
      </c>
      <c r="B5" s="116" t="str">
        <f>B3</f>
        <v>VODAFONE</v>
      </c>
      <c r="C5" s="134" t="str">
        <f t="shared" ref="C5:C6" si="4">C$3</f>
        <v>Άμεση</v>
      </c>
      <c r="D5" s="129"/>
      <c r="E5" s="206">
        <f>IF(P5="",IF(ΓΕΝΙΚΑ!$B$19="ΝΑΙ",_xlfn.IFNA(INDEX(OrchardIDnai,MATCH(G5,DimosNameNai,0)),""),""),"")</f>
        <v>14382</v>
      </c>
      <c r="F5" s="207" t="str">
        <f>IF(ΓΕΝΙΚΑ!$B$19="ΝΑΙ",_xlfn.IFNA(INDEX(OrchardNameNai,MATCH(G5,DimosNameNai,0)),""),"")</f>
        <v>Παύλου Μελά</v>
      </c>
      <c r="G5" s="126" t="s">
        <v>934</v>
      </c>
      <c r="H5" s="187" t="s">
        <v>445</v>
      </c>
      <c r="I5" s="185" t="s">
        <v>430</v>
      </c>
      <c r="J5" s="185"/>
      <c r="K5" s="186" t="str">
        <f t="shared" si="3"/>
        <v>POTS</v>
      </c>
      <c r="L5" s="57">
        <f t="shared" ref="L5:L6" si="5">IF(M5="ΠΟΛΥ ΥΨΗΛΗ", 5,IF(M5="ΥΨΗΛΗ",4,IF(M5="ΜΕΣΗ",3,IF(M5="ΧΑΜΗΛΗ",2,IF(M5="ΠΟΛΥ ΧΑΜΗΛΗ",1,0)))))</f>
        <v>5</v>
      </c>
      <c r="M5" s="185" t="s">
        <v>424</v>
      </c>
      <c r="N5" s="242" t="e">
        <f>#REF!</f>
        <v>#REF!</v>
      </c>
      <c r="O5" s="176"/>
      <c r="P5" s="122" t="str">
        <f t="shared" si="1"/>
        <v/>
      </c>
      <c r="Q5" s="140" t="str">
        <f>IF(D5=2,CONCATENATE(IF(G5="","Το πεδίο ΤΚ Τερματικό Σημείο, δεν μπορεί να είναι κενό",""),IF(K5=""," | Πρέπει να επιλεγεί ο Τύπος Τερματικής συσκευής",""),IF(M5="","  |  Το πεδίο Ποιότητα δεν μπορεί να είναι κενό",""),IF(D5="","  |  O Α/Α Πακέτου πρέπει να επιλεγεί '2'","")),"")</f>
        <v/>
      </c>
    </row>
    <row r="6" spans="1:17" ht="42.75" customHeight="1" thickBot="1" x14ac:dyDescent="0.3">
      <c r="A6" s="75" t="e">
        <f>#REF!</f>
        <v>#REF!</v>
      </c>
      <c r="B6" s="76" t="str">
        <f>B3</f>
        <v>VODAFONE</v>
      </c>
      <c r="C6" s="77" t="str">
        <f t="shared" si="4"/>
        <v>Άμεση</v>
      </c>
      <c r="D6" s="120" t="str">
        <f t="shared" ref="D6" si="6">IF(ISNUMBER($D$5),$D$5,"")</f>
        <v/>
      </c>
      <c r="E6" s="206">
        <f>IF(P6="",IF(ΓΕΝΙΚΑ!$B$19="ΝΑΙ",_xlfn.IFNA(INDEX(OrchardIDnai,MATCH(G6,DimosNameNai,0)),""),""),"")</f>
        <v>13946</v>
      </c>
      <c r="F6" s="208" t="str">
        <f>IF(ΓΕΝΙΚΑ!$B$19="ΝΑΙ",_xlfn.IFNA(INDEX(OrchardNameNai,MATCH(G6,DimosNameNai,0)),""),"")</f>
        <v>Αθηναίων</v>
      </c>
      <c r="G6" s="127" t="s">
        <v>950</v>
      </c>
      <c r="H6" s="114" t="s">
        <v>446</v>
      </c>
      <c r="I6" s="125" t="str">
        <f>TEXT(I$5,)</f>
        <v>POTS</v>
      </c>
      <c r="J6" s="12" t="str">
        <f t="shared" ref="J6" si="7">TEXT(J$5,)</f>
        <v/>
      </c>
      <c r="K6" s="12" t="str">
        <f t="shared" si="3"/>
        <v>POTS</v>
      </c>
      <c r="L6" s="12">
        <f t="shared" si="5"/>
        <v>5</v>
      </c>
      <c r="M6" s="124" t="str">
        <f>TEXT(M$5,)</f>
        <v>ΠΟΛΥ ΥΨΗΛΗ</v>
      </c>
      <c r="N6" s="243" t="e">
        <f>#REF!</f>
        <v>#REF!</v>
      </c>
      <c r="O6" s="176"/>
      <c r="P6" s="123" t="str">
        <f t="shared" si="1"/>
        <v/>
      </c>
      <c r="Q6" s="184" t="str">
        <f>IF(D6=2,CONCATENATE(IF(K6="","Πρέπει να επιλεγεί ο Τύπος Τερματικής συσκευής",""),IF(M6="","  |  Το πεδίο Ποιότητα δεν μπορεί να είναι κενό",""),IF(D6="0","  |  O Α/Α Πακέτου πρέπει να επιλεγεί '2'","")),"")</f>
        <v/>
      </c>
    </row>
  </sheetData>
  <sheetProtection algorithmName="SHA-512" hashValue="pt1JutcZOjiBMmfhsVrp+sMKlQVaILZ24+6beMs8hB/ptyN00yHq6IvIZ+rYw1DtRmKWbvQqEOlTwTQT9ojPFw==" saltValue="r/ZGCASwlRWcm6FYeExgEA==" spinCount="100000" sheet="1" objects="1" scenarios="1" formatColumns="0" formatRows="0" selectLockedCells="1"/>
  <dataConsolidate/>
  <conditionalFormatting sqref="P3:P6">
    <cfRule type="cellIs" dxfId="4" priority="1" operator="equal">
      <formula>"ΣΦΑΛΜΑ"</formula>
    </cfRule>
  </conditionalFormatting>
  <dataValidations count="6">
    <dataValidation type="list" allowBlank="1" showInputMessage="1" showErrorMessage="1" sqref="C3">
      <formula1>ServiceType</formula1>
    </dataValidation>
    <dataValidation type="list" allowBlank="1" showInputMessage="1" showErrorMessage="1" sqref="I5 I3">
      <formula1>POTS</formula1>
    </dataValidation>
    <dataValidation type="list" allowBlank="1" showInputMessage="1" showErrorMessage="1" sqref="M5 M3">
      <formula1>Quality</formula1>
    </dataValidation>
    <dataValidation type="list" allowBlank="1" showInputMessage="1" showErrorMessage="1" sqref="D5 D3">
      <formula1>Packet</formula1>
    </dataValidation>
    <dataValidation type="list" allowBlank="1" showInputMessage="1" showErrorMessage="1" sqref="H3:H6">
      <formula1>Direction_</formula1>
    </dataValidation>
    <dataValidation type="list" allowBlank="1" showInputMessage="1" showErrorMessage="1" sqref="G3:G6">
      <formula1>TK</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1048576"/>
  <sheetViews>
    <sheetView tabSelected="1" topLeftCell="A2" zoomScaleNormal="100" workbookViewId="0">
      <selection activeCell="Q3" sqref="Q3"/>
    </sheetView>
  </sheetViews>
  <sheetFormatPr defaultColWidth="0" defaultRowHeight="15" zeroHeight="1" x14ac:dyDescent="0.25"/>
  <cols>
    <col min="1" max="1" width="50" style="167" customWidth="1"/>
    <col min="2" max="2" width="23" style="167" hidden="1" customWidth="1"/>
    <col min="3" max="3" width="17.5703125" style="167" customWidth="1"/>
    <col min="4" max="4" width="25.28515625" style="252" hidden="1" customWidth="1"/>
    <col min="5" max="5" width="37.140625" style="252" hidden="1" customWidth="1"/>
    <col min="6" max="6" width="38.140625" style="167" customWidth="1"/>
    <col min="7" max="7" width="19.85546875" style="167" customWidth="1"/>
    <col min="8" max="8" width="28.28515625" style="167" customWidth="1"/>
    <col min="9" max="9" width="28.28515625" style="167" hidden="1" customWidth="1"/>
    <col min="10" max="10" width="36.140625" style="167" customWidth="1"/>
    <col min="11" max="11" width="28.28515625" style="167" hidden="1" customWidth="1"/>
    <col min="12" max="12" width="19.85546875" style="298" customWidth="1"/>
    <col min="13" max="13" width="31.28515625" style="167" customWidth="1"/>
    <col min="14" max="14" width="31.28515625" style="299" hidden="1" customWidth="1"/>
    <col min="15" max="15" width="45.7109375" style="167" customWidth="1"/>
    <col min="16" max="17" width="31.28515625" style="167" customWidth="1"/>
    <col min="18" max="18" width="5.7109375" style="167" customWidth="1"/>
    <col min="19" max="19" width="16.140625" style="167" customWidth="1"/>
    <col min="20" max="20" width="70.140625" style="167" customWidth="1"/>
    <col min="21" max="33" width="9.140625" style="281" hidden="1" customWidth="1"/>
    <col min="34" max="16384" width="9.140625" style="167" hidden="1"/>
  </cols>
  <sheetData>
    <row r="1" spans="1:33" ht="15.75" hidden="1" thickBot="1" x14ac:dyDescent="0.3">
      <c r="A1" t="s">
        <v>502</v>
      </c>
      <c r="B1" t="s">
        <v>501</v>
      </c>
      <c r="C1" t="s">
        <v>503</v>
      </c>
      <c r="D1" s="225" t="s">
        <v>900</v>
      </c>
      <c r="E1" s="225" t="s">
        <v>901</v>
      </c>
      <c r="F1" s="2" t="s">
        <v>506</v>
      </c>
      <c r="G1" t="s">
        <v>521</v>
      </c>
      <c r="H1" t="s">
        <v>516</v>
      </c>
      <c r="I1" t="s">
        <v>522</v>
      </c>
      <c r="J1" t="s">
        <v>516</v>
      </c>
      <c r="K1" t="s">
        <v>523</v>
      </c>
      <c r="L1" t="s">
        <v>524</v>
      </c>
      <c r="M1" s="224" t="s">
        <v>516</v>
      </c>
      <c r="N1" s="227" t="s">
        <v>525</v>
      </c>
      <c r="O1" s="24" t="s">
        <v>526</v>
      </c>
      <c r="P1" s="24" t="s">
        <v>527</v>
      </c>
      <c r="Q1" s="24" t="s">
        <v>509</v>
      </c>
      <c r="S1" s="24" t="s">
        <v>516</v>
      </c>
      <c r="T1" s="24" t="s">
        <v>516</v>
      </c>
      <c r="U1" s="190"/>
      <c r="V1" s="190"/>
      <c r="W1" s="190"/>
      <c r="X1" s="190"/>
      <c r="Y1" s="190"/>
      <c r="Z1" s="190"/>
      <c r="AA1" s="167"/>
      <c r="AB1" s="167"/>
      <c r="AC1" s="167"/>
      <c r="AD1" s="167"/>
      <c r="AE1" s="167"/>
      <c r="AF1" s="167"/>
      <c r="AG1" s="167"/>
    </row>
    <row r="2" spans="1:33" ht="93.75" thickBot="1" x14ac:dyDescent="0.3">
      <c r="A2" s="3" t="s">
        <v>422</v>
      </c>
      <c r="B2" s="4" t="s">
        <v>28</v>
      </c>
      <c r="C2" s="4" t="s">
        <v>433</v>
      </c>
      <c r="D2" s="226"/>
      <c r="E2" s="226"/>
      <c r="F2" s="4" t="s">
        <v>545</v>
      </c>
      <c r="G2" s="4" t="s">
        <v>463</v>
      </c>
      <c r="H2" s="4" t="s">
        <v>556</v>
      </c>
      <c r="I2" s="4" t="s">
        <v>558</v>
      </c>
      <c r="J2" s="81" t="s">
        <v>568</v>
      </c>
      <c r="K2" s="4" t="s">
        <v>559</v>
      </c>
      <c r="L2" s="130" t="s">
        <v>567</v>
      </c>
      <c r="M2" s="4" t="s">
        <v>557</v>
      </c>
      <c r="N2" s="226" t="s">
        <v>557</v>
      </c>
      <c r="O2" s="4" t="s">
        <v>464</v>
      </c>
      <c r="P2" s="81" t="s">
        <v>465</v>
      </c>
      <c r="Q2" s="22" t="s">
        <v>421</v>
      </c>
      <c r="S2" s="46" t="s">
        <v>452</v>
      </c>
      <c r="T2" s="132" t="s">
        <v>452</v>
      </c>
      <c r="U2" s="190"/>
      <c r="V2" s="190"/>
      <c r="W2" s="281" t="s">
        <v>572</v>
      </c>
      <c r="X2" s="281" t="s">
        <v>573</v>
      </c>
      <c r="Y2" s="190"/>
      <c r="Z2" s="190"/>
      <c r="AA2" s="167"/>
      <c r="AB2" s="167"/>
      <c r="AC2" s="167"/>
      <c r="AD2" s="167"/>
      <c r="AE2" s="167"/>
      <c r="AF2" s="167"/>
      <c r="AG2" s="167"/>
    </row>
    <row r="3" spans="1:33" ht="46.5" thickTop="1" thickBot="1" x14ac:dyDescent="0.3">
      <c r="A3" s="39" t="s">
        <v>466</v>
      </c>
      <c r="B3" s="47" t="str">
        <f>ΓΕΝΙΚΑ!C4</f>
        <v>VODAFONE</v>
      </c>
      <c r="C3" s="131" t="s">
        <v>434</v>
      </c>
      <c r="D3" s="230">
        <f>IF(S3="",IF(ΓΕΝΙΚΑ!$B$20="ΝΑΙ",15300,""),"")</f>
        <v>15300</v>
      </c>
      <c r="E3" s="274" t="str">
        <f>IF(ΓΕΝΙΚΑ!$B$20="ΝΑΙ","ΠΑΝΕΛΛΑΔΙΚΑ","")</f>
        <v>ΠΑΝΕΛΛΑΔΙΚΑ</v>
      </c>
      <c r="F3" s="40" t="s">
        <v>552</v>
      </c>
      <c r="G3" s="5">
        <v>50</v>
      </c>
      <c r="H3" s="305">
        <v>1.2</v>
      </c>
      <c r="I3" s="312"/>
      <c r="J3" s="305">
        <v>6.8</v>
      </c>
      <c r="K3" s="312">
        <f>IF(ISNUMBER(J3),ROUND(J3,2),"")</f>
        <v>6.8</v>
      </c>
      <c r="L3" s="308">
        <f>IF(AND(ISNUMBER(H3),ISNUMBER(J3)),ROUND(H3+J3,0),IF(ISNUMBER(H3),ROUND(H3,0),IF(ISNUMBER(J3),ROUND(J3,0),"")))</f>
        <v>8</v>
      </c>
      <c r="M3" s="244"/>
      <c r="N3" s="244" t="str">
        <f>IF(ISNUMBER(M3),ROUND(M3,2),"")</f>
        <v/>
      </c>
      <c r="O3" s="259"/>
      <c r="P3" s="260"/>
      <c r="Q3" s="316" t="s">
        <v>959</v>
      </c>
      <c r="S3" s="122" t="str">
        <f>IF(T3="","","ΣΦΑΛΜΑ")</f>
        <v/>
      </c>
      <c r="T3" s="188" t="str">
        <f>CONCATENATE(IF(L3="",U3,""),IF(L3&gt;L17,V3,""),IF(H3&gt;H17,W3,""),IF(J3&gt;J17,X3,""),IF(M3&lt;&gt;"",IF(AND(ISNUMBER(M3),M3&gt;=0,M3&lt;=100),"","  |  Το Ποσοστό Παραγγελιών που έχουν Ολοκληρωθεί μέχρι Ημερομηνία που Συμφωνήθηκε με Πελάτη πρέπει να είναι αριθμός από 0 έως 100"),""))</f>
        <v/>
      </c>
      <c r="U3" s="281" t="s">
        <v>570</v>
      </c>
      <c r="V3" s="281" t="s">
        <v>571</v>
      </c>
      <c r="Y3" s="281" t="s">
        <v>574</v>
      </c>
    </row>
    <row r="4" spans="1:33" x14ac:dyDescent="0.25">
      <c r="A4" s="41" t="str">
        <f t="shared" ref="A4:A30" si="0">A$3</f>
        <v>B05</v>
      </c>
      <c r="B4" s="38" t="str">
        <f>B$3</f>
        <v>VODAFONE</v>
      </c>
      <c r="C4" s="38" t="str">
        <f t="shared" ref="C4:C30" si="1">$C$3</f>
        <v>Άμεση</v>
      </c>
      <c r="D4" s="217">
        <f>IF(S4="",IF(ΓΕΝΙΚΑ!$B$20="ΝΑΙ",14664,""),"")</f>
        <v>14664</v>
      </c>
      <c r="E4" s="275" t="str">
        <f>IF(ΓΕΝΙΚΑ!$B$20="ΝΑΙ","Π. ΑΝΑΤΟΛΙΚΗΣ ΜΑΚΕΔΟΝΙΑΣ - ΘΡΑΚΗΣ","")</f>
        <v>Π. ΑΝΑΤΟΛΙΚΗΣ ΜΑΚΕΔΟΝΙΑΣ - ΘΡΑΚΗΣ</v>
      </c>
      <c r="F4" s="23" t="s">
        <v>39</v>
      </c>
      <c r="G4" s="23">
        <v>50</v>
      </c>
      <c r="H4" s="306">
        <v>0.94</v>
      </c>
      <c r="I4" s="312"/>
      <c r="J4" s="306">
        <v>6.06</v>
      </c>
      <c r="K4" s="312">
        <f t="shared" ref="K4:K30" si="2">IF(ISNUMBER(J4),ROUND(J4,2),"")</f>
        <v>6.06</v>
      </c>
      <c r="L4" s="308">
        <f t="shared" ref="L4:L30" si="3">IF(AND(ISNUMBER(H4),ISNUMBER(J4)),ROUND(H4+J4,0),IF(ISNUMBER(H4),ROUND(H4,0),IF(ISNUMBER(J4),ROUND(J4,0),"")))</f>
        <v>7</v>
      </c>
      <c r="M4" s="245"/>
      <c r="N4" s="258" t="str">
        <f t="shared" ref="N4:N16" si="4">IF(ISNUMBER(M4),ROUND(M4,2),"")</f>
        <v/>
      </c>
      <c r="O4" s="264">
        <f>O$3</f>
        <v>0</v>
      </c>
      <c r="P4" s="265">
        <f t="shared" ref="P4:Q30" si="5">P$3</f>
        <v>0</v>
      </c>
      <c r="Q4" s="266" t="str">
        <f t="shared" si="5"/>
        <v>Σχόλιο ΕΕΤΤ: Οι τιμές με κόκκινο δεν επιβεβαιώνονται από τα αρχεία καταγραφής μετρήσεων</v>
      </c>
      <c r="S4" s="122" t="str">
        <f t="shared" ref="S4:S30" si="6">IF(T4="","","ΣΦΑΛΜΑ")</f>
        <v/>
      </c>
      <c r="T4" s="188" t="str">
        <f>IF(ΠΕΡΙΦΕΡΕΙΑ!B2="Καθόλου",IF(OR(H4&lt;&gt;"",J4&lt;&gt;"",M4&lt;&gt;""),"Η περιφέρεια δεν καλύπτεται",""),CONCATENATE(IF(L4="",U4,""),IF(L4&gt;L18,V4,""),IF(H4&gt;H18,W4,""),IF(J4&gt;J18,X4,""),IF(M4&lt;&gt;"",IF(AND(ISNUMBER(M4),M4&gt;=0,M4&lt;=100),"","  |  Το Ποσοστό Παραγγελιών που έχουν Ολοκληρωθεί μέχρι Ημερομηνία που Συμφωνήθηκε με Πελάτη πρέπει να είναι αριθμός από 0 έως 100"),"")))</f>
        <v/>
      </c>
      <c r="U4" s="281" t="s">
        <v>570</v>
      </c>
      <c r="V4" s="281" t="s">
        <v>571</v>
      </c>
      <c r="Y4" s="281" t="s">
        <v>574</v>
      </c>
    </row>
    <row r="5" spans="1:33" x14ac:dyDescent="0.25">
      <c r="A5" s="41" t="str">
        <f t="shared" si="0"/>
        <v>B05</v>
      </c>
      <c r="B5" s="38" t="str">
        <f t="shared" ref="B5:B30" si="7">B$3</f>
        <v>VODAFONE</v>
      </c>
      <c r="C5" s="38" t="str">
        <f t="shared" si="1"/>
        <v>Άμεση</v>
      </c>
      <c r="D5" s="231">
        <f>IF(S5="",IF(ΓΕΝΙΚΑ!$B$20="ΝΑΙ",14666,""),"")</f>
        <v>14666</v>
      </c>
      <c r="E5" s="276" t="str">
        <f>IF(ΓΕΝΙΚΑ!$B$20="ΝΑΙ","Π. ΑΤΤΙΚΗΣ","")</f>
        <v>Π. ΑΤΤΙΚΗΣ</v>
      </c>
      <c r="F5" s="7" t="s">
        <v>40</v>
      </c>
      <c r="G5" s="7">
        <v>50</v>
      </c>
      <c r="H5" s="306">
        <v>0.98</v>
      </c>
      <c r="I5" s="312"/>
      <c r="J5" s="306">
        <v>6.02</v>
      </c>
      <c r="K5" s="312">
        <f t="shared" si="2"/>
        <v>6.02</v>
      </c>
      <c r="L5" s="308">
        <f t="shared" si="3"/>
        <v>7</v>
      </c>
      <c r="M5" s="245"/>
      <c r="N5" s="258" t="str">
        <f t="shared" si="4"/>
        <v/>
      </c>
      <c r="O5" s="264">
        <f t="shared" ref="O5:O30" si="8">O$3</f>
        <v>0</v>
      </c>
      <c r="P5" s="265">
        <f t="shared" si="5"/>
        <v>0</v>
      </c>
      <c r="Q5" s="266" t="str">
        <f t="shared" si="5"/>
        <v>Σχόλιο ΕΕΤΤ: Οι τιμές με κόκκινο δεν επιβεβαιώνονται από τα αρχεία καταγραφής μετρήσεων</v>
      </c>
      <c r="S5" s="122" t="str">
        <f t="shared" si="6"/>
        <v/>
      </c>
      <c r="T5" s="188" t="str">
        <f>IF(ΠΕΡΙΦΕΡΕΙΑ!B3="Καθόλου",IF(OR(H5&lt;&gt;"",J5&lt;&gt;"",M5&lt;&gt;""),"Η περιφέρεια δεν καλύπτεται",""),CONCATENATE(IF(L5="",U5,""),IF(L5&gt;L19,V5,""),IF(H5&gt;H19,W5,""),IF(J5&gt;J19,X5,""),IF(M5&lt;&gt;"",IF(AND(ISNUMBER(M5),M5&gt;=0,M5&lt;=100),"","  |  Το Ποσοστό Παραγγελιών που έχουν Ολοκληρωθεί μέχρι Ημερομηνία που Συμφωνήθηκε με Πελάτη πρέπει να είναι αριθμός από 0 έως 100"),"")))</f>
        <v/>
      </c>
      <c r="U5" s="281" t="s">
        <v>570</v>
      </c>
      <c r="V5" s="281" t="s">
        <v>571</v>
      </c>
      <c r="Y5" s="281" t="s">
        <v>574</v>
      </c>
    </row>
    <row r="6" spans="1:33" x14ac:dyDescent="0.25">
      <c r="A6" s="41" t="str">
        <f t="shared" si="0"/>
        <v>B05</v>
      </c>
      <c r="B6" s="38" t="str">
        <f t="shared" si="7"/>
        <v>VODAFONE</v>
      </c>
      <c r="C6" s="38" t="str">
        <f t="shared" si="1"/>
        <v>Άμεση</v>
      </c>
      <c r="D6" s="217">
        <f>IF(S3="",IF(ΓΕΝΙΚΑ!$B$20="ΝΑΙ",14668,""),"")</f>
        <v>14668</v>
      </c>
      <c r="E6" s="275" t="str">
        <f>IF(ΓΕΝΙΚΑ!$B$20="ΝΑΙ","Π. ΒΟΡΕΙΟΥ ΑΙΓΑΙΟΥ","")</f>
        <v>Π. ΒΟΡΕΙΟΥ ΑΙΓΑΙΟΥ</v>
      </c>
      <c r="F6" s="23" t="s">
        <v>404</v>
      </c>
      <c r="G6" s="23">
        <v>50</v>
      </c>
      <c r="H6" s="306">
        <v>0.84</v>
      </c>
      <c r="I6" s="312"/>
      <c r="J6" s="306">
        <v>6.16</v>
      </c>
      <c r="K6" s="312">
        <f t="shared" si="2"/>
        <v>6.16</v>
      </c>
      <c r="L6" s="308">
        <f t="shared" si="3"/>
        <v>7</v>
      </c>
      <c r="M6" s="245"/>
      <c r="N6" s="258" t="str">
        <f t="shared" si="4"/>
        <v/>
      </c>
      <c r="O6" s="264">
        <f t="shared" si="8"/>
        <v>0</v>
      </c>
      <c r="P6" s="265">
        <f t="shared" si="5"/>
        <v>0</v>
      </c>
      <c r="Q6" s="266" t="str">
        <f t="shared" si="5"/>
        <v>Σχόλιο ΕΕΤΤ: Οι τιμές με κόκκινο δεν επιβεβαιώνονται από τα αρχεία καταγραφής μετρήσεων</v>
      </c>
      <c r="S6" s="122" t="str">
        <f t="shared" si="6"/>
        <v/>
      </c>
      <c r="T6" s="188" t="str">
        <f>IF(ΠΕΡΙΦΕΡΕΙΑ!B4="Καθόλου",IF(OR(H6&lt;&gt;"",J6&lt;&gt;"",M6&lt;&gt;""),"Η περιφέρεια δεν καλύπτεται",""),CONCATENATE(IF(L6="",U6,""),IF(L6&gt;L20,V6,""),IF(H6&gt;H20,W6,""),IF(J6&gt;J20,X6,""),IF(M6&lt;&gt;"",IF(AND(ISNUMBER(M6),M6&gt;=0,M6&lt;=100),"","  |  Το Ποσοστό Παραγγελιών που έχουν Ολοκληρωθεί μέχρι Ημερομηνία που Συμφωνήθηκε με Πελάτη πρέπει να είναι αριθμός από 0 έως 100"),"")))</f>
        <v/>
      </c>
      <c r="U6" s="281" t="s">
        <v>570</v>
      </c>
      <c r="V6" s="281" t="s">
        <v>571</v>
      </c>
      <c r="Y6" s="281" t="s">
        <v>574</v>
      </c>
    </row>
    <row r="7" spans="1:33" x14ac:dyDescent="0.25">
      <c r="A7" s="41" t="str">
        <f t="shared" si="0"/>
        <v>B05</v>
      </c>
      <c r="B7" s="38" t="str">
        <f t="shared" si="7"/>
        <v>VODAFONE</v>
      </c>
      <c r="C7" s="38" t="str">
        <f t="shared" si="1"/>
        <v>Άμεση</v>
      </c>
      <c r="D7" s="231">
        <f>IF(S7="",IF(ΓΕΝΙΚΑ!$B$20="ΝΑΙ",14670,""),"")</f>
        <v>14670</v>
      </c>
      <c r="E7" s="276" t="str">
        <f>IF(ΓΕΝΙΚΑ!$B$20="ΝΑΙ","Π. ΔΥΤΙΚΗΣ ΕΛΛΑΔΑΣ","")</f>
        <v>Π. ΔΥΤΙΚΗΣ ΕΛΛΑΔΑΣ</v>
      </c>
      <c r="F7" s="7" t="s">
        <v>405</v>
      </c>
      <c r="G7" s="7">
        <v>50</v>
      </c>
      <c r="H7" s="306">
        <v>1</v>
      </c>
      <c r="I7" s="312"/>
      <c r="J7" s="306">
        <v>6</v>
      </c>
      <c r="K7" s="312">
        <f t="shared" si="2"/>
        <v>6</v>
      </c>
      <c r="L7" s="308">
        <f t="shared" si="3"/>
        <v>7</v>
      </c>
      <c r="M7" s="245"/>
      <c r="N7" s="258" t="str">
        <f t="shared" si="4"/>
        <v/>
      </c>
      <c r="O7" s="264">
        <f t="shared" si="8"/>
        <v>0</v>
      </c>
      <c r="P7" s="265">
        <f t="shared" si="5"/>
        <v>0</v>
      </c>
      <c r="Q7" s="266" t="str">
        <f t="shared" si="5"/>
        <v>Σχόλιο ΕΕΤΤ: Οι τιμές με κόκκινο δεν επιβεβαιώνονται από τα αρχεία καταγραφής μετρήσεων</v>
      </c>
      <c r="S7" s="122" t="str">
        <f t="shared" si="6"/>
        <v/>
      </c>
      <c r="T7" s="188" t="str">
        <f>IF(ΠΕΡΙΦΕΡΕΙΑ!B5="Καθόλου",IF(OR(H7&lt;&gt;"",J7&lt;&gt;"",M7&lt;&gt;""),"Η περιφέρεια δεν καλύπτεται",""),CONCATENATE(IF(L7="",U7,""),IF(L7&gt;L21,V7,""),IF(H7&gt;H21,W7,""),IF(J7&gt;J21,X7,""),IF(M7&lt;&gt;"",IF(AND(ISNUMBER(M7),M7&gt;=0,M7&lt;=100),"","  |  Το Ποσοστό Παραγγελιών που έχουν Ολοκληρωθεί μέχρι Ημερομηνία που Συμφωνήθηκε με Πελάτη πρέπει να είναι αριθμός από 0 έως 100"),"")))</f>
        <v/>
      </c>
      <c r="U7" s="281" t="s">
        <v>570</v>
      </c>
      <c r="V7" s="281" t="s">
        <v>571</v>
      </c>
      <c r="Y7" s="281" t="s">
        <v>574</v>
      </c>
    </row>
    <row r="8" spans="1:33" x14ac:dyDescent="0.25">
      <c r="A8" s="41" t="str">
        <f t="shared" si="0"/>
        <v>B05</v>
      </c>
      <c r="B8" s="38" t="str">
        <f t="shared" si="7"/>
        <v>VODAFONE</v>
      </c>
      <c r="C8" s="38" t="str">
        <f t="shared" si="1"/>
        <v>Άμεση</v>
      </c>
      <c r="D8" s="217">
        <f>IF(S8="",IF(ΓΕΝΙΚΑ!$B$20="ΝΑΙ",14672,""),"")</f>
        <v>14672</v>
      </c>
      <c r="E8" s="275" t="str">
        <f>IF(ΓΕΝΙΚΑ!$B$20="ΝΑΙ","Π. ΔΥΤΙΚΗΣ ΜΑΚΕΔΟΝΙΑΣ","")</f>
        <v>Π. ΔΥΤΙΚΗΣ ΜΑΚΕΔΟΝΙΑΣ</v>
      </c>
      <c r="F8" s="23" t="s">
        <v>406</v>
      </c>
      <c r="G8" s="23">
        <v>50</v>
      </c>
      <c r="H8" s="306">
        <v>0.93</v>
      </c>
      <c r="I8" s="312"/>
      <c r="J8" s="306">
        <v>6.07</v>
      </c>
      <c r="K8" s="312">
        <f t="shared" si="2"/>
        <v>6.07</v>
      </c>
      <c r="L8" s="308">
        <f t="shared" si="3"/>
        <v>7</v>
      </c>
      <c r="M8" s="245"/>
      <c r="N8" s="258" t="str">
        <f t="shared" si="4"/>
        <v/>
      </c>
      <c r="O8" s="264">
        <f t="shared" si="8"/>
        <v>0</v>
      </c>
      <c r="P8" s="265">
        <f t="shared" si="5"/>
        <v>0</v>
      </c>
      <c r="Q8" s="266" t="str">
        <f t="shared" si="5"/>
        <v>Σχόλιο ΕΕΤΤ: Οι τιμές με κόκκινο δεν επιβεβαιώνονται από τα αρχεία καταγραφής μετρήσεων</v>
      </c>
      <c r="S8" s="122" t="str">
        <f t="shared" si="6"/>
        <v/>
      </c>
      <c r="T8" s="188" t="str">
        <f>IF(ΠΕΡΙΦΕΡΕΙΑ!B6="Καθόλου",IF(OR(H8&lt;&gt;"",J8&lt;&gt;"",M8&lt;&gt;""),"Η περιφέρεια δεν καλύπτεται",""),CONCATENATE(IF(L8="",U8,""),IF(L8&gt;L22,V8,""),IF(H8&gt;H22,W8,""),IF(J8&gt;J22,X8,""),IF(M8&lt;&gt;"",IF(AND(ISNUMBER(M8),M8&gt;=0,M8&lt;=100),"","  |  Το Ποσοστό Παραγγελιών που έχουν Ολοκληρωθεί μέχρι Ημερομηνία που Συμφωνήθηκε με Πελάτη πρέπει να είναι αριθμός από 0 έως 100"),"")))</f>
        <v/>
      </c>
      <c r="U8" s="281" t="s">
        <v>570</v>
      </c>
      <c r="V8" s="281" t="s">
        <v>571</v>
      </c>
      <c r="Y8" s="281" t="s">
        <v>574</v>
      </c>
    </row>
    <row r="9" spans="1:33" x14ac:dyDescent="0.25">
      <c r="A9" s="41" t="str">
        <f t="shared" si="0"/>
        <v>B05</v>
      </c>
      <c r="B9" s="38" t="str">
        <f t="shared" si="7"/>
        <v>VODAFONE</v>
      </c>
      <c r="C9" s="38" t="str">
        <f t="shared" si="1"/>
        <v>Άμεση</v>
      </c>
      <c r="D9" s="231">
        <f>IF(S9="",IF(ΓΕΝΙΚΑ!$B$20="ΝΑΙ",14674,""),"")</f>
        <v>14674</v>
      </c>
      <c r="E9" s="276" t="str">
        <f>IF(ΓΕΝΙΚΑ!$B$20="ΝΑΙ","Π. ΗΠΕΙΡΟΥ","")</f>
        <v>Π. ΗΠΕΙΡΟΥ</v>
      </c>
      <c r="F9" s="7" t="s">
        <v>407</v>
      </c>
      <c r="G9" s="7">
        <v>50</v>
      </c>
      <c r="H9" s="306">
        <v>1.1299999999999999</v>
      </c>
      <c r="I9" s="312"/>
      <c r="J9" s="306">
        <v>6.87</v>
      </c>
      <c r="K9" s="312">
        <f t="shared" si="2"/>
        <v>6.87</v>
      </c>
      <c r="L9" s="308">
        <f t="shared" si="3"/>
        <v>8</v>
      </c>
      <c r="M9" s="245"/>
      <c r="N9" s="258" t="str">
        <f t="shared" si="4"/>
        <v/>
      </c>
      <c r="O9" s="264">
        <f t="shared" si="8"/>
        <v>0</v>
      </c>
      <c r="P9" s="265">
        <f t="shared" si="5"/>
        <v>0</v>
      </c>
      <c r="Q9" s="266" t="str">
        <f t="shared" si="5"/>
        <v>Σχόλιο ΕΕΤΤ: Οι τιμές με κόκκινο δεν επιβεβαιώνονται από τα αρχεία καταγραφής μετρήσεων</v>
      </c>
      <c r="S9" s="122" t="str">
        <f t="shared" si="6"/>
        <v/>
      </c>
      <c r="T9" s="188" t="str">
        <f>IF(ΠΕΡΙΦΕΡΕΙΑ!B7="Καθόλου",IF(OR(H9&lt;&gt;"",J9&lt;&gt;"",M9&lt;&gt;""),"Η περιφέρεια δεν καλύπτεται",""),CONCATENATE(IF(L9="",U9,""),IF(L9&gt;L23,V9,""),IF(H9&gt;H23,W9,""),IF(J9&gt;J23,X9,""),IF(M9&lt;&gt;"",IF(AND(ISNUMBER(M9),M9&gt;=0,M9&lt;=100),"","  |  Το Ποσοστό Παραγγελιών που έχουν Ολοκληρωθεί μέχρι Ημερομηνία που Συμφωνήθηκε με Πελάτη πρέπει να είναι αριθμός από 0 έως 100"),"")))</f>
        <v/>
      </c>
      <c r="U9" s="281" t="s">
        <v>570</v>
      </c>
      <c r="V9" s="281" t="s">
        <v>571</v>
      </c>
      <c r="Y9" s="281" t="s">
        <v>574</v>
      </c>
    </row>
    <row r="10" spans="1:33" x14ac:dyDescent="0.25">
      <c r="A10" s="41" t="str">
        <f t="shared" si="0"/>
        <v>B05</v>
      </c>
      <c r="B10" s="38" t="str">
        <f t="shared" si="7"/>
        <v>VODAFONE</v>
      </c>
      <c r="C10" s="38" t="str">
        <f t="shared" si="1"/>
        <v>Άμεση</v>
      </c>
      <c r="D10" s="217">
        <f>IF(S10="",IF(ΓΕΝΙΚΑ!$B$20="ΝΑΙ",14676,""),"")</f>
        <v>14676</v>
      </c>
      <c r="E10" s="275" t="str">
        <f>IF(ΓΕΝΙΚΑ!$B$20="ΝΑΙ","Π. ΘΕΣΣΑΛΙΑΣ","")</f>
        <v>Π. ΘΕΣΣΑΛΙΑΣ</v>
      </c>
      <c r="F10" s="23" t="s">
        <v>408</v>
      </c>
      <c r="G10" s="23">
        <v>50</v>
      </c>
      <c r="H10" s="306">
        <v>0.96</v>
      </c>
      <c r="I10" s="312"/>
      <c r="J10" s="306">
        <v>6.04</v>
      </c>
      <c r="K10" s="312">
        <f t="shared" si="2"/>
        <v>6.04</v>
      </c>
      <c r="L10" s="308">
        <f t="shared" si="3"/>
        <v>7</v>
      </c>
      <c r="M10" s="245"/>
      <c r="N10" s="258" t="str">
        <f t="shared" si="4"/>
        <v/>
      </c>
      <c r="O10" s="264">
        <f t="shared" si="8"/>
        <v>0</v>
      </c>
      <c r="P10" s="265">
        <f t="shared" si="5"/>
        <v>0</v>
      </c>
      <c r="Q10" s="266" t="str">
        <f t="shared" si="5"/>
        <v>Σχόλιο ΕΕΤΤ: Οι τιμές με κόκκινο δεν επιβεβαιώνονται από τα αρχεία καταγραφής μετρήσεων</v>
      </c>
      <c r="S10" s="122" t="str">
        <f t="shared" si="6"/>
        <v/>
      </c>
      <c r="T10" s="188" t="str">
        <f>IF(ΠΕΡΙΦΕΡΕΙΑ!B8="Καθόλου",IF(OR(H10&lt;&gt;"",J10&lt;&gt;"",M10&lt;&gt;""),"Η περιφέρεια δεν καλύπτεται",""),CONCATENATE(IF(L10="",U10,""),IF(L10&gt;L24,V10,""),IF(H10&gt;H24,W10,""),IF(J10&gt;J24,X10,""),IF(M10&lt;&gt;"",IF(AND(ISNUMBER(M10),M10&gt;=0,M10&lt;=100),"","  |  Το Ποσοστό Παραγγελιών που έχουν Ολοκληρωθεί μέχρι Ημερομηνία που Συμφωνήθηκε με Πελάτη πρέπει να είναι αριθμός από 0 έως 100"),"")))</f>
        <v/>
      </c>
      <c r="U10" s="281" t="s">
        <v>570</v>
      </c>
      <c r="V10" s="281" t="s">
        <v>571</v>
      </c>
      <c r="Y10" s="281" t="s">
        <v>574</v>
      </c>
    </row>
    <row r="11" spans="1:33" x14ac:dyDescent="0.25">
      <c r="A11" s="41" t="str">
        <f t="shared" si="0"/>
        <v>B05</v>
      </c>
      <c r="B11" s="38" t="str">
        <f t="shared" si="7"/>
        <v>VODAFONE</v>
      </c>
      <c r="C11" s="38" t="str">
        <f t="shared" si="1"/>
        <v>Άμεση</v>
      </c>
      <c r="D11" s="231">
        <f>IF(S11="",IF(ΓΕΝΙΚΑ!$B$20="ΝΑΙ",14678,""),"")</f>
        <v>14678</v>
      </c>
      <c r="E11" s="276" t="str">
        <f>IF(ΓΕΝΙΚΑ!$B$20="ΝΑΙ","Π. ΙΟΝΙΩΝ ΝΗΣΩΝ","")</f>
        <v>Π. ΙΟΝΙΩΝ ΝΗΣΩΝ</v>
      </c>
      <c r="F11" s="7" t="s">
        <v>409</v>
      </c>
      <c r="G11" s="7">
        <v>50</v>
      </c>
      <c r="H11" s="306">
        <v>1.32</v>
      </c>
      <c r="I11" s="312"/>
      <c r="J11" s="306">
        <v>6.68</v>
      </c>
      <c r="K11" s="312">
        <f t="shared" si="2"/>
        <v>6.68</v>
      </c>
      <c r="L11" s="308">
        <f t="shared" si="3"/>
        <v>8</v>
      </c>
      <c r="M11" s="245"/>
      <c r="N11" s="258" t="str">
        <f t="shared" si="4"/>
        <v/>
      </c>
      <c r="O11" s="264">
        <f t="shared" si="8"/>
        <v>0</v>
      </c>
      <c r="P11" s="265">
        <f t="shared" si="5"/>
        <v>0</v>
      </c>
      <c r="Q11" s="266" t="str">
        <f t="shared" si="5"/>
        <v>Σχόλιο ΕΕΤΤ: Οι τιμές με κόκκινο δεν επιβεβαιώνονται από τα αρχεία καταγραφής μετρήσεων</v>
      </c>
      <c r="S11" s="122" t="str">
        <f t="shared" si="6"/>
        <v/>
      </c>
      <c r="T11" s="188" t="str">
        <f>IF(ΠΕΡΙΦΕΡΕΙΑ!B9="Καθόλου",IF(OR(H11&lt;&gt;"",J11&lt;&gt;"",M11&lt;&gt;""),"Η περιφέρεια δεν καλύπτεται",""),CONCATENATE(IF(L11="",U11,""),IF(L11&gt;L25,V11,""),IF(H11&gt;H25,W11,""),IF(J11&gt;J25,X11,""),IF(M11&lt;&gt;"",IF(AND(ISNUMBER(M11),M11&gt;=0,M11&lt;=100),"","  |  Το Ποσοστό Παραγγελιών που έχουν Ολοκληρωθεί μέχρι Ημερομηνία που Συμφωνήθηκε με Πελάτη πρέπει να είναι αριθμός από 0 έως 100"),"")))</f>
        <v/>
      </c>
      <c r="U11" s="281" t="s">
        <v>570</v>
      </c>
      <c r="V11" s="281" t="s">
        <v>571</v>
      </c>
      <c r="Y11" s="281" t="s">
        <v>574</v>
      </c>
    </row>
    <row r="12" spans="1:33" x14ac:dyDescent="0.25">
      <c r="A12" s="41" t="str">
        <f t="shared" si="0"/>
        <v>B05</v>
      </c>
      <c r="B12" s="38" t="str">
        <f t="shared" si="7"/>
        <v>VODAFONE</v>
      </c>
      <c r="C12" s="38" t="str">
        <f t="shared" si="1"/>
        <v>Άμεση</v>
      </c>
      <c r="D12" s="217">
        <f>IF(S12="",IF(ΓΕΝΙΚΑ!$B$20="ΝΑΙ",14680,""),"")</f>
        <v>14680</v>
      </c>
      <c r="E12" s="275" t="str">
        <f>IF(ΓΕΝΙΚΑ!$B$20="ΝΑΙ","Π. ΚΕΝΤΡΙΚΗΣ ΜΑΚΕΔΟΝΙΑΣ","")</f>
        <v>Π. ΚΕΝΤΡΙΚΗΣ ΜΑΚΕΔΟΝΙΑΣ</v>
      </c>
      <c r="F12" s="23" t="s">
        <v>410</v>
      </c>
      <c r="G12" s="23">
        <v>50</v>
      </c>
      <c r="H12" s="306">
        <v>1.1000000000000001</v>
      </c>
      <c r="I12" s="312"/>
      <c r="J12" s="306">
        <v>5.9</v>
      </c>
      <c r="K12" s="312">
        <f t="shared" si="2"/>
        <v>5.9</v>
      </c>
      <c r="L12" s="308">
        <f t="shared" si="3"/>
        <v>7</v>
      </c>
      <c r="M12" s="245"/>
      <c r="N12" s="258" t="str">
        <f t="shared" si="4"/>
        <v/>
      </c>
      <c r="O12" s="264">
        <f t="shared" si="8"/>
        <v>0</v>
      </c>
      <c r="P12" s="265">
        <f t="shared" si="5"/>
        <v>0</v>
      </c>
      <c r="Q12" s="266" t="str">
        <f t="shared" si="5"/>
        <v>Σχόλιο ΕΕΤΤ: Οι τιμές με κόκκινο δεν επιβεβαιώνονται από τα αρχεία καταγραφής μετρήσεων</v>
      </c>
      <c r="S12" s="122" t="str">
        <f t="shared" si="6"/>
        <v/>
      </c>
      <c r="T12" s="188" t="str">
        <f>IF(ΠΕΡΙΦΕΡΕΙΑ!B10="Καθόλου",IF(OR(H12&lt;&gt;"",J12&lt;&gt;"",M12&lt;&gt;""),"Η περιφέρεια δεν καλύπτεται",""),CONCATENATE(IF(L12="",U12,""),IF(L12&gt;L26,V12,""),IF(H12&gt;H26,W12,""),IF(J12&gt;J26,X12,""),IF(M12&lt;&gt;"",IF(AND(ISNUMBER(M12),M12&gt;=0,M12&lt;=100),"","  |  Το Ποσοστό Παραγγελιών που έχουν Ολοκληρωθεί μέχρι Ημερομηνία που Συμφωνήθηκε με Πελάτη πρέπει να είναι αριθμός από 0 έως 100"),"")))</f>
        <v/>
      </c>
      <c r="U12" s="281" t="s">
        <v>570</v>
      </c>
      <c r="V12" s="281" t="s">
        <v>571</v>
      </c>
      <c r="Y12" s="281" t="s">
        <v>574</v>
      </c>
    </row>
    <row r="13" spans="1:33" x14ac:dyDescent="0.25">
      <c r="A13" s="41" t="str">
        <f t="shared" si="0"/>
        <v>B05</v>
      </c>
      <c r="B13" s="38" t="str">
        <f t="shared" si="7"/>
        <v>VODAFONE</v>
      </c>
      <c r="C13" s="38" t="str">
        <f t="shared" si="1"/>
        <v>Άμεση</v>
      </c>
      <c r="D13" s="231">
        <f>IF(S13="",IF(ΓΕΝΙΚΑ!$B$20="ΝΑΙ",14682,""),"")</f>
        <v>14682</v>
      </c>
      <c r="E13" s="276" t="str">
        <f>IF(ΓΕΝΙΚΑ!$B$20="ΝΑΙ","Π. ΚΡΗΤΗΣ","")</f>
        <v>Π. ΚΡΗΤΗΣ</v>
      </c>
      <c r="F13" s="7" t="s">
        <v>411</v>
      </c>
      <c r="G13" s="7">
        <v>50</v>
      </c>
      <c r="H13" s="306">
        <v>1.06</v>
      </c>
      <c r="I13" s="312"/>
      <c r="J13" s="306">
        <v>5.94</v>
      </c>
      <c r="K13" s="312">
        <f t="shared" si="2"/>
        <v>5.94</v>
      </c>
      <c r="L13" s="308">
        <f t="shared" si="3"/>
        <v>7</v>
      </c>
      <c r="M13" s="245"/>
      <c r="N13" s="258" t="str">
        <f t="shared" si="4"/>
        <v/>
      </c>
      <c r="O13" s="264">
        <f t="shared" si="8"/>
        <v>0</v>
      </c>
      <c r="P13" s="265">
        <f t="shared" si="5"/>
        <v>0</v>
      </c>
      <c r="Q13" s="266" t="str">
        <f t="shared" si="5"/>
        <v>Σχόλιο ΕΕΤΤ: Οι τιμές με κόκκινο δεν επιβεβαιώνονται από τα αρχεία καταγραφής μετρήσεων</v>
      </c>
      <c r="S13" s="122" t="str">
        <f t="shared" si="6"/>
        <v/>
      </c>
      <c r="T13" s="188" t="str">
        <f>IF(ΠΕΡΙΦΕΡΕΙΑ!B11="Καθόλου",IF(OR(H13&lt;&gt;"",J13&lt;&gt;"",M13&lt;&gt;""),"Η περιφέρεια δεν καλύπτεται",""),CONCATENATE(IF(L13="",U13,""),IF(L13&gt;L27,V13,""),IF(H13&gt;H27,W13,""),IF(J13&gt;J27,X13,""),IF(M13&lt;&gt;"",IF(AND(ISNUMBER(M13),M13&gt;=0,M13&lt;=100),"","  |  Το Ποσοστό Παραγγελιών που έχουν Ολοκληρωθεί μέχρι Ημερομηνία που Συμφωνήθηκε με Πελάτη πρέπει να είναι αριθμός από 0 έως 100"),"")))</f>
        <v/>
      </c>
      <c r="U13" s="281" t="s">
        <v>570</v>
      </c>
      <c r="V13" s="281" t="s">
        <v>571</v>
      </c>
      <c r="Y13" s="281" t="s">
        <v>574</v>
      </c>
    </row>
    <row r="14" spans="1:33" x14ac:dyDescent="0.25">
      <c r="A14" s="41" t="str">
        <f t="shared" si="0"/>
        <v>B05</v>
      </c>
      <c r="B14" s="38" t="str">
        <f t="shared" si="7"/>
        <v>VODAFONE</v>
      </c>
      <c r="C14" s="38" t="str">
        <f t="shared" si="1"/>
        <v>Άμεση</v>
      </c>
      <c r="D14" s="217">
        <f>IF(S14="",IF(ΓΕΝΙΚΑ!$B$20="ΝΑΙ",14684,""),"")</f>
        <v>14684</v>
      </c>
      <c r="E14" s="275" t="str">
        <f>IF(ΓΕΝΙΚΑ!$B$20="ΝΑΙ","Π. ΝΟΤΙΟΥ ΑΙΓΑΙΟΥ","")</f>
        <v>Π. ΝΟΤΙΟΥ ΑΙΓΑΙΟΥ</v>
      </c>
      <c r="F14" s="23" t="s">
        <v>412</v>
      </c>
      <c r="G14" s="23">
        <v>50</v>
      </c>
      <c r="H14" s="306">
        <v>0.97</v>
      </c>
      <c r="I14" s="312"/>
      <c r="J14" s="306">
        <v>7.03</v>
      </c>
      <c r="K14" s="312">
        <f t="shared" si="2"/>
        <v>7.03</v>
      </c>
      <c r="L14" s="308">
        <f t="shared" si="3"/>
        <v>8</v>
      </c>
      <c r="M14" s="245"/>
      <c r="N14" s="258" t="str">
        <f t="shared" si="4"/>
        <v/>
      </c>
      <c r="O14" s="264">
        <f t="shared" si="8"/>
        <v>0</v>
      </c>
      <c r="P14" s="265">
        <f t="shared" si="5"/>
        <v>0</v>
      </c>
      <c r="Q14" s="266" t="str">
        <f t="shared" si="5"/>
        <v>Σχόλιο ΕΕΤΤ: Οι τιμές με κόκκινο δεν επιβεβαιώνονται από τα αρχεία καταγραφής μετρήσεων</v>
      </c>
      <c r="S14" s="122" t="str">
        <f t="shared" si="6"/>
        <v/>
      </c>
      <c r="T14" s="188" t="str">
        <f>IF(ΠΕΡΙΦΕΡΕΙΑ!B12="Καθόλου",IF(OR(H14&lt;&gt;"",J14&lt;&gt;"",M14&lt;&gt;""),"Η περιφέρεια δεν καλύπτεται",""),CONCATENATE(IF(L14="",U14,""),IF(L14&gt;L28,V14,""),IF(H14&gt;H28,W14,""),IF(J14&gt;J28,X14,""),IF(M14&lt;&gt;"",IF(AND(ISNUMBER(M14),M14&gt;=0,M14&lt;=100),"","  |  Το Ποσοστό Παραγγελιών που έχουν Ολοκληρωθεί μέχρι Ημερομηνία που Συμφωνήθηκε με Πελάτη πρέπει να είναι αριθμός από 0 έως 100"),"")))</f>
        <v/>
      </c>
      <c r="U14" s="281" t="s">
        <v>570</v>
      </c>
      <c r="V14" s="281" t="s">
        <v>571</v>
      </c>
      <c r="Y14" s="281" t="s">
        <v>574</v>
      </c>
    </row>
    <row r="15" spans="1:33" x14ac:dyDescent="0.25">
      <c r="A15" s="41" t="str">
        <f t="shared" si="0"/>
        <v>B05</v>
      </c>
      <c r="B15" s="38" t="str">
        <f t="shared" si="7"/>
        <v>VODAFONE</v>
      </c>
      <c r="C15" s="38" t="str">
        <f t="shared" si="1"/>
        <v>Άμεση</v>
      </c>
      <c r="D15" s="231">
        <f>IF(S15="",IF(ΓΕΝΙΚΑ!$B$20="ΝΑΙ",14686,""),"")</f>
        <v>14686</v>
      </c>
      <c r="E15" s="276" t="str">
        <f>IF(ΓΕΝΙΚΑ!$B$20="ΝΑΙ","Π. ΠΕΛΟΠΟΝΝΗΣΟΥ","")</f>
        <v>Π. ΠΕΛΟΠΟΝΝΗΣΟΥ</v>
      </c>
      <c r="F15" s="7" t="s">
        <v>413</v>
      </c>
      <c r="G15" s="7">
        <v>50</v>
      </c>
      <c r="H15" s="306">
        <v>1.22</v>
      </c>
      <c r="I15" s="312"/>
      <c r="J15" s="306">
        <v>6.78</v>
      </c>
      <c r="K15" s="312">
        <f t="shared" si="2"/>
        <v>6.78</v>
      </c>
      <c r="L15" s="308">
        <f t="shared" si="3"/>
        <v>8</v>
      </c>
      <c r="M15" s="245"/>
      <c r="N15" s="258" t="str">
        <f t="shared" si="4"/>
        <v/>
      </c>
      <c r="O15" s="264">
        <f t="shared" si="8"/>
        <v>0</v>
      </c>
      <c r="P15" s="265">
        <f t="shared" si="5"/>
        <v>0</v>
      </c>
      <c r="Q15" s="266" t="str">
        <f t="shared" si="5"/>
        <v>Σχόλιο ΕΕΤΤ: Οι τιμές με κόκκινο δεν επιβεβαιώνονται από τα αρχεία καταγραφής μετρήσεων</v>
      </c>
      <c r="S15" s="122" t="str">
        <f t="shared" si="6"/>
        <v/>
      </c>
      <c r="T15" s="188" t="str">
        <f>IF(ΠΕΡΙΦΕΡΕΙΑ!B13="Καθόλου",IF(OR(H15&lt;&gt;"",J15&lt;&gt;"",M15&lt;&gt;""),"Η περιφέρεια δεν καλύπτεται",""),CONCATENATE(IF(L15="",U15,""),IF(L15&gt;L29,V15,""),IF(H15&gt;H29,W15,""),IF(J15&gt;J29,X15,""),IF(M15&lt;&gt;"",IF(AND(ISNUMBER(M15),M15&gt;=0,M15&lt;=100),"","  |  Το Ποσοστό Παραγγελιών που έχουν Ολοκληρωθεί μέχρι Ημερομηνία που Συμφωνήθηκε με Πελάτη πρέπει να είναι αριθμός από 0 έως 100"),"")))</f>
        <v/>
      </c>
      <c r="U15" s="281" t="s">
        <v>570</v>
      </c>
      <c r="V15" s="281" t="s">
        <v>571</v>
      </c>
      <c r="Y15" s="281" t="s">
        <v>574</v>
      </c>
    </row>
    <row r="16" spans="1:33" ht="15.75" thickBot="1" x14ac:dyDescent="0.3">
      <c r="A16" s="41" t="str">
        <f t="shared" si="0"/>
        <v>B05</v>
      </c>
      <c r="B16" s="38" t="str">
        <f t="shared" si="7"/>
        <v>VODAFONE</v>
      </c>
      <c r="C16" s="38" t="str">
        <f t="shared" si="1"/>
        <v>Άμεση</v>
      </c>
      <c r="D16" s="218">
        <f>IF(S16="",IF(ΓΕΝΙΚΑ!$B$20="ΝΑΙ",14688,""),"")</f>
        <v>14688</v>
      </c>
      <c r="E16" s="277" t="str">
        <f>IF(ΓΕΝΙΚΑ!$B$20="ΝΑΙ","Π. ΣΤΕΡΕΑΣ ΕΛΛΑΔΑΣ","")</f>
        <v>Π. ΣΤΕΡΕΑΣ ΕΛΛΑΔΑΣ</v>
      </c>
      <c r="F16" s="34" t="s">
        <v>414</v>
      </c>
      <c r="G16" s="34">
        <v>50</v>
      </c>
      <c r="H16" s="307">
        <v>1.28</v>
      </c>
      <c r="I16" s="312"/>
      <c r="J16" s="307">
        <v>6.72</v>
      </c>
      <c r="K16" s="312">
        <f t="shared" si="2"/>
        <v>6.72</v>
      </c>
      <c r="L16" s="310">
        <f t="shared" si="3"/>
        <v>8</v>
      </c>
      <c r="M16" s="246"/>
      <c r="N16" s="258" t="str">
        <f t="shared" si="4"/>
        <v/>
      </c>
      <c r="O16" s="264">
        <f t="shared" si="8"/>
        <v>0</v>
      </c>
      <c r="P16" s="265">
        <f t="shared" si="5"/>
        <v>0</v>
      </c>
      <c r="Q16" s="266" t="str">
        <f t="shared" si="5"/>
        <v>Σχόλιο ΕΕΤΤ: Οι τιμές με κόκκινο δεν επιβεβαιώνονται από τα αρχεία καταγραφής μετρήσεων</v>
      </c>
      <c r="S16" s="122" t="str">
        <f t="shared" si="6"/>
        <v/>
      </c>
      <c r="T16" s="188" t="str">
        <f>IF(ΠΕΡΙΦΕΡΕΙΑ!B14="Καθόλου",IF(OR(H16&lt;&gt;"",J16&lt;&gt;"",M16&lt;&gt;""),"Η περιφέρεια δεν καλύπτεται",""),CONCATENATE(IF(L16="",U16,""),IF(L16&gt;L30,V16,""),IF(H16&gt;H30,W16,""),IF(J16&gt;J30,X16,""),IF(M16&lt;&gt;"",IF(AND(ISNUMBER(M16),M16&gt;=0,M16&lt;=100),"","  |  Το Ποσοστό Παραγγελιών που έχουν Ολοκληρωθεί μέχρι Ημερομηνία που Συμφωνήθηκε με Πελάτη πρέπει να είναι αριθμός από 0 έως 100"),"")))</f>
        <v/>
      </c>
      <c r="U16" s="281" t="s">
        <v>570</v>
      </c>
      <c r="V16" s="281" t="s">
        <v>571</v>
      </c>
      <c r="Y16" s="281" t="s">
        <v>574</v>
      </c>
    </row>
    <row r="17" spans="1:20" x14ac:dyDescent="0.25">
      <c r="A17" s="41" t="str">
        <f t="shared" si="0"/>
        <v>B05</v>
      </c>
      <c r="B17" s="38" t="str">
        <f t="shared" si="7"/>
        <v>VODAFONE</v>
      </c>
      <c r="C17" s="38" t="str">
        <f t="shared" si="1"/>
        <v>Άμεση</v>
      </c>
      <c r="D17" s="219">
        <f>IF(S17="",IF(ΓΕΝΙΚΑ!$B$20="ΝΑΙ",15300,""),"")</f>
        <v>15300</v>
      </c>
      <c r="E17" s="278" t="str">
        <f>IF(ΓΕΝΙΚΑ!$B$20="ΝΑΙ","ΠΑΝΕΛΛΑΔΙΚΑ","")</f>
        <v>ΠΑΝΕΛΛΑΔΙΚΑ</v>
      </c>
      <c r="F17" s="8" t="s">
        <v>552</v>
      </c>
      <c r="G17" s="5">
        <v>95</v>
      </c>
      <c r="H17" s="303">
        <v>5.98</v>
      </c>
      <c r="I17" s="304"/>
      <c r="J17" s="303">
        <v>20.02</v>
      </c>
      <c r="K17" s="312">
        <f t="shared" si="2"/>
        <v>20.02</v>
      </c>
      <c r="L17" s="313">
        <f t="shared" si="3"/>
        <v>26</v>
      </c>
      <c r="M17" s="33">
        <f>M3</f>
        <v>0</v>
      </c>
      <c r="N17" s="228" t="str">
        <f>N3</f>
        <v/>
      </c>
      <c r="O17" s="265">
        <f t="shared" si="8"/>
        <v>0</v>
      </c>
      <c r="P17" s="265">
        <f t="shared" si="5"/>
        <v>0</v>
      </c>
      <c r="Q17" s="266" t="str">
        <f t="shared" si="5"/>
        <v>Σχόλιο ΕΕΤΤ: Οι τιμές με κόκκινο δεν επιβεβαιώνονται από τα αρχεία καταγραφής μετρήσεων</v>
      </c>
      <c r="S17" s="122" t="str">
        <f t="shared" si="6"/>
        <v/>
      </c>
      <c r="T17" s="188" t="str">
        <f>IF(L17="",U3,"")</f>
        <v/>
      </c>
    </row>
    <row r="18" spans="1:20" x14ac:dyDescent="0.25">
      <c r="A18" s="41" t="str">
        <f t="shared" si="0"/>
        <v>B05</v>
      </c>
      <c r="B18" s="38" t="str">
        <f t="shared" si="7"/>
        <v>VODAFONE</v>
      </c>
      <c r="C18" s="38" t="str">
        <f t="shared" si="1"/>
        <v>Άμεση</v>
      </c>
      <c r="D18" s="217">
        <f>IF(S18="",IF(ΓΕΝΙΚΑ!$B$20="ΝΑΙ",14664,""),"")</f>
        <v>14664</v>
      </c>
      <c r="E18" s="275" t="str">
        <f>IF(ΓΕΝΙΚΑ!$B$20="ΝΑΙ","Π. ΑΝΑΤΟΛΙΚΗΣ ΜΑΚΕΔΟΝΙΑΣ - ΘΡΑΚΗΣ","")</f>
        <v>Π. ΑΝΑΤΟΛΙΚΗΣ ΜΑΚΕΔΟΝΙΑΣ - ΘΡΑΚΗΣ</v>
      </c>
      <c r="F18" s="23" t="s">
        <v>39</v>
      </c>
      <c r="G18" s="23">
        <v>95</v>
      </c>
      <c r="H18" s="306">
        <v>5.76</v>
      </c>
      <c r="I18" s="312"/>
      <c r="J18" s="306">
        <v>20.239999999999998</v>
      </c>
      <c r="K18" s="312">
        <f t="shared" si="2"/>
        <v>20.239999999999998</v>
      </c>
      <c r="L18" s="314">
        <f t="shared" si="3"/>
        <v>26</v>
      </c>
      <c r="M18" s="33">
        <f>M4</f>
        <v>0</v>
      </c>
      <c r="N18" s="228" t="str">
        <f t="shared" ref="N18:N30" si="9">N4</f>
        <v/>
      </c>
      <c r="O18" s="265">
        <f t="shared" si="8"/>
        <v>0</v>
      </c>
      <c r="P18" s="265">
        <f t="shared" si="5"/>
        <v>0</v>
      </c>
      <c r="Q18" s="266" t="str">
        <f t="shared" si="5"/>
        <v>Σχόλιο ΕΕΤΤ: Οι τιμές με κόκκινο δεν επιβεβαιώνονται από τα αρχεία καταγραφής μετρήσεων</v>
      </c>
      <c r="S18" s="122" t="str">
        <f t="shared" si="6"/>
        <v/>
      </c>
      <c r="T18" s="188" t="str">
        <f>IF(AND(L18="",ΠΕΡΙΦΕΡΕΙΑ!B2&lt;&gt;"Καθόλου"),U4,IF(AND(ΠΕΡΙΦΕΡΕΙΑ!B2="Καθόλου",OR(H18&lt;&gt;"",J18&lt;&gt;"")),"Η περιφέρεια δεν καλύπτεται",""))</f>
        <v/>
      </c>
    </row>
    <row r="19" spans="1:20" x14ac:dyDescent="0.25">
      <c r="A19" s="41" t="str">
        <f t="shared" si="0"/>
        <v>B05</v>
      </c>
      <c r="B19" s="38" t="str">
        <f t="shared" si="7"/>
        <v>VODAFONE</v>
      </c>
      <c r="C19" s="38" t="str">
        <f t="shared" si="1"/>
        <v>Άμεση</v>
      </c>
      <c r="D19" s="231">
        <f>IF(S19="",IF(ΓΕΝΙΚΑ!$B$20="ΝΑΙ",14666,""),"")</f>
        <v>14666</v>
      </c>
      <c r="E19" s="276" t="str">
        <f>IF(ΓΕΝΙΚΑ!$B$20="ΝΑΙ","Π. ΑΤΤΙΚΗΣ","")</f>
        <v>Π. ΑΤΤΙΚΗΣ</v>
      </c>
      <c r="F19" s="7" t="s">
        <v>40</v>
      </c>
      <c r="G19" s="7">
        <v>95</v>
      </c>
      <c r="H19" s="306">
        <v>5.49</v>
      </c>
      <c r="I19" s="312"/>
      <c r="J19" s="306">
        <v>20.51</v>
      </c>
      <c r="K19" s="312">
        <f t="shared" si="2"/>
        <v>20.51</v>
      </c>
      <c r="L19" s="314">
        <f t="shared" si="3"/>
        <v>26</v>
      </c>
      <c r="M19" s="33">
        <f t="shared" ref="M19:M30" si="10">M5</f>
        <v>0</v>
      </c>
      <c r="N19" s="228" t="str">
        <f t="shared" si="9"/>
        <v/>
      </c>
      <c r="O19" s="265">
        <f t="shared" si="8"/>
        <v>0</v>
      </c>
      <c r="P19" s="265">
        <f t="shared" si="5"/>
        <v>0</v>
      </c>
      <c r="Q19" s="266" t="str">
        <f t="shared" si="5"/>
        <v>Σχόλιο ΕΕΤΤ: Οι τιμές με κόκκινο δεν επιβεβαιώνονται από τα αρχεία καταγραφής μετρήσεων</v>
      </c>
      <c r="S19" s="122" t="str">
        <f t="shared" si="6"/>
        <v/>
      </c>
      <c r="T19" s="188" t="str">
        <f>IF(AND(L19="",ΠΕΡΙΦΕΡΕΙΑ!B3&lt;&gt;"Καθόλου"),U5,IF(AND(ΠΕΡΙΦΕΡΕΙΑ!B3="Καθόλου",OR(H19&lt;&gt;"",J19&lt;&gt;"")),"Η περιφέρεια δεν καλύπτεται",""))</f>
        <v/>
      </c>
    </row>
    <row r="20" spans="1:20" x14ac:dyDescent="0.25">
      <c r="A20" s="41" t="str">
        <f t="shared" si="0"/>
        <v>B05</v>
      </c>
      <c r="B20" s="38" t="str">
        <f t="shared" si="7"/>
        <v>VODAFONE</v>
      </c>
      <c r="C20" s="38" t="str">
        <f t="shared" si="1"/>
        <v>Άμεση</v>
      </c>
      <c r="D20" s="217">
        <f>IF(S20="",IF(ΓΕΝΙΚΑ!$B$20="ΝΑΙ",14668,""),"")</f>
        <v>14668</v>
      </c>
      <c r="E20" s="275" t="str">
        <f>IF(ΓΕΝΙΚΑ!$B$20="ΝΑΙ","Π. ΒΟΡΕΙΟΥ ΑΙΓΑΙΟΥ","")</f>
        <v>Π. ΒΟΡΕΙΟΥ ΑΙΓΑΙΟΥ</v>
      </c>
      <c r="F20" s="23" t="s">
        <v>404</v>
      </c>
      <c r="G20" s="23">
        <v>95</v>
      </c>
      <c r="H20" s="306">
        <v>4.9400000000000004</v>
      </c>
      <c r="I20" s="312"/>
      <c r="J20" s="306">
        <v>21.06</v>
      </c>
      <c r="K20" s="312">
        <f t="shared" si="2"/>
        <v>21.06</v>
      </c>
      <c r="L20" s="314">
        <f t="shared" si="3"/>
        <v>26</v>
      </c>
      <c r="M20" s="33">
        <f t="shared" si="10"/>
        <v>0</v>
      </c>
      <c r="N20" s="228" t="str">
        <f t="shared" si="9"/>
        <v/>
      </c>
      <c r="O20" s="265">
        <f t="shared" si="8"/>
        <v>0</v>
      </c>
      <c r="P20" s="265">
        <f t="shared" si="5"/>
        <v>0</v>
      </c>
      <c r="Q20" s="266" t="str">
        <f t="shared" si="5"/>
        <v>Σχόλιο ΕΕΤΤ: Οι τιμές με κόκκινο δεν επιβεβαιώνονται από τα αρχεία καταγραφής μετρήσεων</v>
      </c>
      <c r="S20" s="122" t="str">
        <f t="shared" si="6"/>
        <v/>
      </c>
      <c r="T20" s="188" t="str">
        <f>IF(AND(L20="",ΠΕΡΙΦΕΡΕΙΑ!B4&lt;&gt;"Καθόλου"),U6,IF(AND(ΠΕΡΙΦΕΡΕΙΑ!B4="Καθόλου",OR(H20&lt;&gt;"",J20&lt;&gt;"")),"Η περιφέρεια δεν καλύπτεται",""))</f>
        <v/>
      </c>
    </row>
    <row r="21" spans="1:20" x14ac:dyDescent="0.25">
      <c r="A21" s="41" t="str">
        <f t="shared" si="0"/>
        <v>B05</v>
      </c>
      <c r="B21" s="38" t="str">
        <f t="shared" si="7"/>
        <v>VODAFONE</v>
      </c>
      <c r="C21" s="38" t="str">
        <f t="shared" si="1"/>
        <v>Άμεση</v>
      </c>
      <c r="D21" s="231">
        <f>IF(S21="",IF(ΓΕΝΙΚΑ!$B$20="ΝΑΙ",14670,""),"")</f>
        <v>14670</v>
      </c>
      <c r="E21" s="276" t="str">
        <f>IF(ΓΕΝΙΚΑ!$B$20="ΝΑΙ","Π. ΔΥΤΙΚΗΣ ΕΛΛΑΔΑΣ","")</f>
        <v>Π. ΔΥΤΙΚΗΣ ΕΛΛΑΔΑΣ</v>
      </c>
      <c r="F21" s="7" t="s">
        <v>405</v>
      </c>
      <c r="G21" s="7">
        <v>95</v>
      </c>
      <c r="H21" s="306">
        <v>5.49</v>
      </c>
      <c r="I21" s="312"/>
      <c r="J21" s="306">
        <v>18.510000000000002</v>
      </c>
      <c r="K21" s="312">
        <f t="shared" si="2"/>
        <v>18.510000000000002</v>
      </c>
      <c r="L21" s="314">
        <f t="shared" si="3"/>
        <v>24</v>
      </c>
      <c r="M21" s="33">
        <f t="shared" si="10"/>
        <v>0</v>
      </c>
      <c r="N21" s="228" t="str">
        <f t="shared" si="9"/>
        <v/>
      </c>
      <c r="O21" s="265">
        <f t="shared" si="8"/>
        <v>0</v>
      </c>
      <c r="P21" s="265">
        <f t="shared" si="5"/>
        <v>0</v>
      </c>
      <c r="Q21" s="266" t="str">
        <f t="shared" si="5"/>
        <v>Σχόλιο ΕΕΤΤ: Οι τιμές με κόκκινο δεν επιβεβαιώνονται από τα αρχεία καταγραφής μετρήσεων</v>
      </c>
      <c r="S21" s="122" t="str">
        <f t="shared" si="6"/>
        <v/>
      </c>
      <c r="T21" s="188" t="str">
        <f>IF(AND(L21="",ΠΕΡΙΦΕΡΕΙΑ!B5&lt;&gt;"Καθόλου"),U7,IF(AND(ΠΕΡΙΦΕΡΕΙΑ!B5="Καθόλου",OR(H21&lt;&gt;"",J21&lt;&gt;"")),"Η περιφέρεια δεν καλύπτεται",""))</f>
        <v/>
      </c>
    </row>
    <row r="22" spans="1:20" x14ac:dyDescent="0.25">
      <c r="A22" s="41" t="str">
        <f t="shared" si="0"/>
        <v>B05</v>
      </c>
      <c r="B22" s="38" t="str">
        <f t="shared" si="7"/>
        <v>VODAFONE</v>
      </c>
      <c r="C22" s="38" t="str">
        <f t="shared" si="1"/>
        <v>Άμεση</v>
      </c>
      <c r="D22" s="217">
        <f>IF(S22="",IF(ΓΕΝΙΚΑ!$B$20="ΝΑΙ",14672,""),"")</f>
        <v>14672</v>
      </c>
      <c r="E22" s="275" t="str">
        <f>IF(ΓΕΝΙΚΑ!$B$20="ΝΑΙ","Π. ΔΥΤΙΚΗΣ ΜΑΚΕΔΟΝΙΑΣ","")</f>
        <v>Π. ΔΥΤΙΚΗΣ ΜΑΚΕΔΟΝΙΑΣ</v>
      </c>
      <c r="F22" s="23" t="s">
        <v>406</v>
      </c>
      <c r="G22" s="23">
        <v>95</v>
      </c>
      <c r="H22" s="306">
        <v>4.82</v>
      </c>
      <c r="I22" s="312"/>
      <c r="J22" s="306">
        <v>16.18</v>
      </c>
      <c r="K22" s="312">
        <f t="shared" si="2"/>
        <v>16.18</v>
      </c>
      <c r="L22" s="314">
        <f t="shared" si="3"/>
        <v>21</v>
      </c>
      <c r="M22" s="33">
        <f t="shared" si="10"/>
        <v>0</v>
      </c>
      <c r="N22" s="228" t="str">
        <f t="shared" si="9"/>
        <v/>
      </c>
      <c r="O22" s="265">
        <f t="shared" si="8"/>
        <v>0</v>
      </c>
      <c r="P22" s="265">
        <f t="shared" si="5"/>
        <v>0</v>
      </c>
      <c r="Q22" s="266" t="str">
        <f t="shared" si="5"/>
        <v>Σχόλιο ΕΕΤΤ: Οι τιμές με κόκκινο δεν επιβεβαιώνονται από τα αρχεία καταγραφής μετρήσεων</v>
      </c>
      <c r="S22" s="122" t="str">
        <f t="shared" si="6"/>
        <v/>
      </c>
      <c r="T22" s="188" t="str">
        <f>IF(AND(L22="",ΠΕΡΙΦΕΡΕΙΑ!B6&lt;&gt;"Καθόλου"),U8,IF(AND(ΠΕΡΙΦΕΡΕΙΑ!B6="Καθόλου",OR(H22&lt;&gt;"",J22&lt;&gt;"")),"Η περιφέρεια δεν καλύπτεται",""))</f>
        <v/>
      </c>
    </row>
    <row r="23" spans="1:20" x14ac:dyDescent="0.25">
      <c r="A23" s="41" t="str">
        <f t="shared" si="0"/>
        <v>B05</v>
      </c>
      <c r="B23" s="38" t="str">
        <f t="shared" si="7"/>
        <v>VODAFONE</v>
      </c>
      <c r="C23" s="38" t="str">
        <f t="shared" si="1"/>
        <v>Άμεση</v>
      </c>
      <c r="D23" s="231">
        <f>IF(S23="",IF(ΓΕΝΙΚΑ!$B$20="ΝΑΙ",14674,""),"")</f>
        <v>14674</v>
      </c>
      <c r="E23" s="276" t="str">
        <f>IF(ΓΕΝΙΚΑ!$B$20="ΝΑΙ","Π. ΗΠΕΙΡΟΥ","")</f>
        <v>Π. ΗΠΕΙΡΟΥ</v>
      </c>
      <c r="F23" s="7" t="s">
        <v>407</v>
      </c>
      <c r="G23" s="7">
        <v>95</v>
      </c>
      <c r="H23" s="306">
        <v>5.75</v>
      </c>
      <c r="I23" s="312"/>
      <c r="J23" s="306">
        <v>18.25</v>
      </c>
      <c r="K23" s="312">
        <f t="shared" si="2"/>
        <v>18.25</v>
      </c>
      <c r="L23" s="314">
        <f t="shared" si="3"/>
        <v>24</v>
      </c>
      <c r="M23" s="33">
        <f t="shared" si="10"/>
        <v>0</v>
      </c>
      <c r="N23" s="228" t="str">
        <f t="shared" si="9"/>
        <v/>
      </c>
      <c r="O23" s="265">
        <f t="shared" si="8"/>
        <v>0</v>
      </c>
      <c r="P23" s="265">
        <f t="shared" si="5"/>
        <v>0</v>
      </c>
      <c r="Q23" s="266" t="str">
        <f t="shared" si="5"/>
        <v>Σχόλιο ΕΕΤΤ: Οι τιμές με κόκκινο δεν επιβεβαιώνονται από τα αρχεία καταγραφής μετρήσεων</v>
      </c>
      <c r="S23" s="122" t="str">
        <f t="shared" si="6"/>
        <v/>
      </c>
      <c r="T23" s="188" t="str">
        <f>IF(AND(L23="",ΠΕΡΙΦΕΡΕΙΑ!B7&lt;&gt;"Καθόλου"),U9,IF(AND(ΠΕΡΙΦΕΡΕΙΑ!B7="Καθόλου",OR(H23&lt;&gt;"",J23&lt;&gt;"")),"Η περιφέρεια δεν καλύπτεται",""))</f>
        <v/>
      </c>
    </row>
    <row r="24" spans="1:20" x14ac:dyDescent="0.25">
      <c r="A24" s="41" t="str">
        <f t="shared" si="0"/>
        <v>B05</v>
      </c>
      <c r="B24" s="38" t="str">
        <f t="shared" si="7"/>
        <v>VODAFONE</v>
      </c>
      <c r="C24" s="38" t="str">
        <f t="shared" si="1"/>
        <v>Άμεση</v>
      </c>
      <c r="D24" s="217">
        <f>IF(S24="",IF(ΓΕΝΙΚΑ!$B$20="ΝΑΙ",14676,""),"")</f>
        <v>14676</v>
      </c>
      <c r="E24" s="275" t="str">
        <f>IF(ΓΕΝΙΚΑ!$B$20="ΝΑΙ","Π. ΘΕΣΣΑΛΙΑΣ","")</f>
        <v>Π. ΘΕΣΣΑΛΙΑΣ</v>
      </c>
      <c r="F24" s="23" t="s">
        <v>408</v>
      </c>
      <c r="G24" s="23">
        <v>95</v>
      </c>
      <c r="H24" s="306">
        <v>5.6</v>
      </c>
      <c r="I24" s="312"/>
      <c r="J24" s="306">
        <v>19.399999999999999</v>
      </c>
      <c r="K24" s="312">
        <f t="shared" si="2"/>
        <v>19.399999999999999</v>
      </c>
      <c r="L24" s="314">
        <f t="shared" si="3"/>
        <v>25</v>
      </c>
      <c r="M24" s="33">
        <f t="shared" si="10"/>
        <v>0</v>
      </c>
      <c r="N24" s="228" t="str">
        <f t="shared" si="9"/>
        <v/>
      </c>
      <c r="O24" s="265">
        <f t="shared" si="8"/>
        <v>0</v>
      </c>
      <c r="P24" s="265">
        <f t="shared" si="5"/>
        <v>0</v>
      </c>
      <c r="Q24" s="266" t="str">
        <f t="shared" si="5"/>
        <v>Σχόλιο ΕΕΤΤ: Οι τιμές με κόκκινο δεν επιβεβαιώνονται από τα αρχεία καταγραφής μετρήσεων</v>
      </c>
      <c r="S24" s="122" t="str">
        <f t="shared" si="6"/>
        <v/>
      </c>
      <c r="T24" s="188" t="str">
        <f>IF(AND(L24="",ΠΕΡΙΦΕΡΕΙΑ!B8&lt;&gt;"Καθόλου"),U10,IF(AND(ΠΕΡΙΦΕΡΕΙΑ!B8="Καθόλου",OR(H24&lt;&gt;"",J24&lt;&gt;"")),"Η περιφέρεια δεν καλύπτεται",""))</f>
        <v/>
      </c>
    </row>
    <row r="25" spans="1:20" x14ac:dyDescent="0.25">
      <c r="A25" s="41" t="str">
        <f t="shared" si="0"/>
        <v>B05</v>
      </c>
      <c r="B25" s="38" t="str">
        <f t="shared" si="7"/>
        <v>VODAFONE</v>
      </c>
      <c r="C25" s="38" t="str">
        <f t="shared" si="1"/>
        <v>Άμεση</v>
      </c>
      <c r="D25" s="231">
        <f>IF(S25="",IF(ΓΕΝΙΚΑ!$B$20="ΝΑΙ",14678,""),"")</f>
        <v>14678</v>
      </c>
      <c r="E25" s="276" t="str">
        <f>IF(ΓΕΝΙΚΑ!$B$20="ΝΑΙ","Π. ΙΟΝΙΩΝ ΝΗΣΩΝ","")</f>
        <v>Π. ΙΟΝΙΩΝ ΝΗΣΩΝ</v>
      </c>
      <c r="F25" s="7" t="s">
        <v>409</v>
      </c>
      <c r="G25" s="7">
        <v>95</v>
      </c>
      <c r="H25" s="306">
        <v>9.09</v>
      </c>
      <c r="I25" s="312"/>
      <c r="J25" s="306">
        <v>24.91</v>
      </c>
      <c r="K25" s="312">
        <f t="shared" si="2"/>
        <v>24.91</v>
      </c>
      <c r="L25" s="314">
        <f t="shared" si="3"/>
        <v>34</v>
      </c>
      <c r="M25" s="33">
        <f t="shared" si="10"/>
        <v>0</v>
      </c>
      <c r="N25" s="228" t="str">
        <f t="shared" si="9"/>
        <v/>
      </c>
      <c r="O25" s="265">
        <f t="shared" si="8"/>
        <v>0</v>
      </c>
      <c r="P25" s="265">
        <f t="shared" si="5"/>
        <v>0</v>
      </c>
      <c r="Q25" s="266" t="str">
        <f t="shared" si="5"/>
        <v>Σχόλιο ΕΕΤΤ: Οι τιμές με κόκκινο δεν επιβεβαιώνονται από τα αρχεία καταγραφής μετρήσεων</v>
      </c>
      <c r="S25" s="122" t="str">
        <f t="shared" si="6"/>
        <v/>
      </c>
      <c r="T25" s="188" t="str">
        <f>IF(AND(L25="",ΠΕΡΙΦΕΡΕΙΑ!B9&lt;&gt;"Καθόλου"),U11,IF(AND(ΠΕΡΙΦΕΡΕΙΑ!B9="Καθόλου",OR(H25&lt;&gt;"",J25&lt;&gt;"")),"Η περιφέρεια δεν καλύπτεται",""))</f>
        <v/>
      </c>
    </row>
    <row r="26" spans="1:20" x14ac:dyDescent="0.25">
      <c r="A26" s="41" t="str">
        <f t="shared" si="0"/>
        <v>B05</v>
      </c>
      <c r="B26" s="38" t="str">
        <f t="shared" si="7"/>
        <v>VODAFONE</v>
      </c>
      <c r="C26" s="38" t="str">
        <f t="shared" si="1"/>
        <v>Άμεση</v>
      </c>
      <c r="D26" s="217">
        <f>IF(S26="",IF(ΓΕΝΙΚΑ!$B$20="ΝΑΙ",14680,""),"")</f>
        <v>14680</v>
      </c>
      <c r="E26" s="275" t="str">
        <f>IF(ΓΕΝΙΚΑ!$B$20="ΝΑΙ","Π. ΚΕΝΤΡΙΚΗΣ ΜΑΚΕΔΟΝΙΑΣ","")</f>
        <v>Π. ΚΕΝΤΡΙΚΗΣ ΜΑΚΕΔΟΝΙΑΣ</v>
      </c>
      <c r="F26" s="23" t="s">
        <v>410</v>
      </c>
      <c r="G26" s="23">
        <v>95</v>
      </c>
      <c r="H26" s="306">
        <v>5.05</v>
      </c>
      <c r="I26" s="312"/>
      <c r="J26" s="306">
        <v>15.95</v>
      </c>
      <c r="K26" s="312">
        <f t="shared" si="2"/>
        <v>15.95</v>
      </c>
      <c r="L26" s="314">
        <f t="shared" si="3"/>
        <v>21</v>
      </c>
      <c r="M26" s="33">
        <f t="shared" si="10"/>
        <v>0</v>
      </c>
      <c r="N26" s="228" t="str">
        <f t="shared" si="9"/>
        <v/>
      </c>
      <c r="O26" s="265">
        <f t="shared" si="8"/>
        <v>0</v>
      </c>
      <c r="P26" s="265">
        <f t="shared" si="5"/>
        <v>0</v>
      </c>
      <c r="Q26" s="266" t="str">
        <f t="shared" si="5"/>
        <v>Σχόλιο ΕΕΤΤ: Οι τιμές με κόκκινο δεν επιβεβαιώνονται από τα αρχεία καταγραφής μετρήσεων</v>
      </c>
      <c r="S26" s="122" t="str">
        <f t="shared" si="6"/>
        <v/>
      </c>
      <c r="T26" s="188" t="str">
        <f>IF(AND(L26="",ΠΕΡΙΦΕΡΕΙΑ!B10&lt;&gt;"Καθόλου"),U12,IF(AND(ΠΕΡΙΦΕΡΕΙΑ!B10="Καθόλου",OR(H26&lt;&gt;"",J26&lt;&gt;"")),"Η περιφέρεια δεν καλύπτεται",""))</f>
        <v/>
      </c>
    </row>
    <row r="27" spans="1:20" x14ac:dyDescent="0.25">
      <c r="A27" s="41" t="str">
        <f t="shared" si="0"/>
        <v>B05</v>
      </c>
      <c r="B27" s="38" t="str">
        <f t="shared" si="7"/>
        <v>VODAFONE</v>
      </c>
      <c r="C27" s="38" t="str">
        <f t="shared" si="1"/>
        <v>Άμεση</v>
      </c>
      <c r="D27" s="231">
        <f>IF(S27="",IF(ΓΕΝΙΚΑ!$B$20="ΝΑΙ",14682,""),"")</f>
        <v>14682</v>
      </c>
      <c r="E27" s="276" t="str">
        <f>IF(ΓΕΝΙΚΑ!$B$20="ΝΑΙ","Π. ΚΡΗΤΗΣ","")</f>
        <v>Π. ΚΡΗΤΗΣ</v>
      </c>
      <c r="F27" s="7" t="s">
        <v>411</v>
      </c>
      <c r="G27" s="7">
        <v>95</v>
      </c>
      <c r="H27" s="306">
        <v>6.59</v>
      </c>
      <c r="I27" s="312"/>
      <c r="J27" s="306">
        <v>20.41</v>
      </c>
      <c r="K27" s="312">
        <f t="shared" si="2"/>
        <v>20.41</v>
      </c>
      <c r="L27" s="314">
        <f t="shared" si="3"/>
        <v>27</v>
      </c>
      <c r="M27" s="33">
        <f t="shared" si="10"/>
        <v>0</v>
      </c>
      <c r="N27" s="228" t="str">
        <f t="shared" si="9"/>
        <v/>
      </c>
      <c r="O27" s="265">
        <f t="shared" si="8"/>
        <v>0</v>
      </c>
      <c r="P27" s="265">
        <f t="shared" si="5"/>
        <v>0</v>
      </c>
      <c r="Q27" s="266" t="str">
        <f t="shared" si="5"/>
        <v>Σχόλιο ΕΕΤΤ: Οι τιμές με κόκκινο δεν επιβεβαιώνονται από τα αρχεία καταγραφής μετρήσεων</v>
      </c>
      <c r="S27" s="122" t="str">
        <f t="shared" si="6"/>
        <v/>
      </c>
      <c r="T27" s="188" t="str">
        <f>IF(AND(L27="",ΠΕΡΙΦΕΡΕΙΑ!B11&lt;&gt;"Καθόλου"),U13,IF(AND(ΠΕΡΙΦΕΡΕΙΑ!B11="Καθόλου",OR(H27&lt;&gt;"",J27&lt;&gt;"")),"Η περιφέρεια δεν καλύπτεται",""))</f>
        <v/>
      </c>
    </row>
    <row r="28" spans="1:20" x14ac:dyDescent="0.25">
      <c r="A28" s="41" t="str">
        <f t="shared" si="0"/>
        <v>B05</v>
      </c>
      <c r="B28" s="38" t="str">
        <f t="shared" si="7"/>
        <v>VODAFONE</v>
      </c>
      <c r="C28" s="38" t="str">
        <f t="shared" si="1"/>
        <v>Άμεση</v>
      </c>
      <c r="D28" s="217">
        <f>IF(S28="",IF(ΓΕΝΙΚΑ!$B$20="ΝΑΙ",14684,""),"")</f>
        <v>14684</v>
      </c>
      <c r="E28" s="275" t="str">
        <f>IF(ΓΕΝΙΚΑ!$B$20="ΝΑΙ","Π. ΝΟΤΙΟΥ ΑΙΓΑΙΟΥ","")</f>
        <v>Π. ΝΟΤΙΟΥ ΑΙΓΑΙΟΥ</v>
      </c>
      <c r="F28" s="23" t="s">
        <v>412</v>
      </c>
      <c r="G28" s="23">
        <v>95</v>
      </c>
      <c r="H28" s="306">
        <v>8.02</v>
      </c>
      <c r="I28" s="312"/>
      <c r="J28" s="306">
        <v>25.98</v>
      </c>
      <c r="K28" s="312">
        <f t="shared" si="2"/>
        <v>25.98</v>
      </c>
      <c r="L28" s="314">
        <f t="shared" si="3"/>
        <v>34</v>
      </c>
      <c r="M28" s="33">
        <f t="shared" si="10"/>
        <v>0</v>
      </c>
      <c r="N28" s="228" t="str">
        <f t="shared" si="9"/>
        <v/>
      </c>
      <c r="O28" s="265">
        <f t="shared" si="8"/>
        <v>0</v>
      </c>
      <c r="P28" s="265">
        <f t="shared" si="5"/>
        <v>0</v>
      </c>
      <c r="Q28" s="266" t="str">
        <f t="shared" si="5"/>
        <v>Σχόλιο ΕΕΤΤ: Οι τιμές με κόκκινο δεν επιβεβαιώνονται από τα αρχεία καταγραφής μετρήσεων</v>
      </c>
      <c r="S28" s="122" t="str">
        <f t="shared" si="6"/>
        <v/>
      </c>
      <c r="T28" s="188" t="str">
        <f>IF(AND(L28="",ΠΕΡΙΦΕΡΕΙΑ!B12&lt;&gt;"Καθόλου"),U14,IF(AND(ΠΕΡΙΦΕΡΕΙΑ!B12="Καθόλου",OR(H28&lt;&gt;"",J28&lt;&gt;"")),"Η περιφέρεια δεν καλύπτεται",""))</f>
        <v/>
      </c>
    </row>
    <row r="29" spans="1:20" x14ac:dyDescent="0.25">
      <c r="A29" s="41" t="str">
        <f t="shared" si="0"/>
        <v>B05</v>
      </c>
      <c r="B29" s="38" t="str">
        <f t="shared" si="7"/>
        <v>VODAFONE</v>
      </c>
      <c r="C29" s="38" t="str">
        <f t="shared" si="1"/>
        <v>Άμεση</v>
      </c>
      <c r="D29" s="231">
        <f>IF(S29="",IF(ΓΕΝΙΚΑ!$B$20="ΝΑΙ",14686,""),"")</f>
        <v>14686</v>
      </c>
      <c r="E29" s="276" t="str">
        <f>IF(ΓΕΝΙΚΑ!$B$20="ΝΑΙ","Π. ΠΕΛΟΠΟΝΝΗΣΟΥ","")</f>
        <v>Π. ΠΕΛΟΠΟΝΝΗΣΟΥ</v>
      </c>
      <c r="F29" s="7" t="s">
        <v>413</v>
      </c>
      <c r="G29" s="7">
        <v>95</v>
      </c>
      <c r="H29" s="306">
        <v>6.26</v>
      </c>
      <c r="I29" s="312"/>
      <c r="J29" s="306">
        <v>20.74</v>
      </c>
      <c r="K29" s="312">
        <f t="shared" si="2"/>
        <v>20.74</v>
      </c>
      <c r="L29" s="314">
        <f t="shared" si="3"/>
        <v>27</v>
      </c>
      <c r="M29" s="33">
        <f t="shared" si="10"/>
        <v>0</v>
      </c>
      <c r="N29" s="228" t="str">
        <f t="shared" si="9"/>
        <v/>
      </c>
      <c r="O29" s="265">
        <f t="shared" si="8"/>
        <v>0</v>
      </c>
      <c r="P29" s="265">
        <f t="shared" si="5"/>
        <v>0</v>
      </c>
      <c r="Q29" s="266" t="str">
        <f t="shared" si="5"/>
        <v>Σχόλιο ΕΕΤΤ: Οι τιμές με κόκκινο δεν επιβεβαιώνονται από τα αρχεία καταγραφής μετρήσεων</v>
      </c>
      <c r="S29" s="122" t="str">
        <f t="shared" si="6"/>
        <v/>
      </c>
      <c r="T29" s="188" t="str">
        <f>IF(AND(L29="",ΠΕΡΙΦΕΡΕΙΑ!B13&lt;&gt;"Καθόλου"),U15,IF(AND(ΠΕΡΙΦΕΡΕΙΑ!B13="Καθόλου",OR(H29&lt;&gt;"",J29&lt;&gt;"")),"Η περιφέρεια δεν καλύπτεται",""))</f>
        <v/>
      </c>
    </row>
    <row r="30" spans="1:20" ht="15.75" thickBot="1" x14ac:dyDescent="0.3">
      <c r="A30" s="42" t="str">
        <f t="shared" si="0"/>
        <v>B05</v>
      </c>
      <c r="B30" s="43" t="str">
        <f t="shared" si="7"/>
        <v>VODAFONE</v>
      </c>
      <c r="C30" s="43" t="str">
        <f t="shared" si="1"/>
        <v>Άμεση</v>
      </c>
      <c r="D30" s="218">
        <f>IF(S30="",IF(ΓΕΝΙΚΑ!$B$20="ΝΑΙ",14688,""),"")</f>
        <v>14688</v>
      </c>
      <c r="E30" s="277" t="str">
        <f>IF(ΓΕΝΙΚΑ!$B$20="ΝΑΙ","Π. ΣΤΕΡΕΑΣ ΕΛΛΑΔΑΣ","")</f>
        <v>Π. ΣΤΕΡΕΑΣ ΕΛΛΑΔΑΣ</v>
      </c>
      <c r="F30" s="34" t="s">
        <v>414</v>
      </c>
      <c r="G30" s="34">
        <v>95</v>
      </c>
      <c r="H30" s="307">
        <v>5.18</v>
      </c>
      <c r="I30" s="312"/>
      <c r="J30" s="307">
        <v>14.82</v>
      </c>
      <c r="K30" s="312">
        <f t="shared" si="2"/>
        <v>14.82</v>
      </c>
      <c r="L30" s="315">
        <f t="shared" si="3"/>
        <v>20</v>
      </c>
      <c r="M30" s="35">
        <f t="shared" si="10"/>
        <v>0</v>
      </c>
      <c r="N30" s="229" t="str">
        <f t="shared" si="9"/>
        <v/>
      </c>
      <c r="O30" s="267">
        <f t="shared" si="8"/>
        <v>0</v>
      </c>
      <c r="P30" s="267">
        <f t="shared" si="5"/>
        <v>0</v>
      </c>
      <c r="Q30" s="268" t="str">
        <f t="shared" si="5"/>
        <v>Σχόλιο ΕΕΤΤ: Οι τιμές με κόκκινο δεν επιβεβαιώνονται από τα αρχεία καταγραφής μετρήσεων</v>
      </c>
      <c r="S30" s="122" t="str">
        <f t="shared" si="6"/>
        <v/>
      </c>
      <c r="T30" s="189" t="str">
        <f>IF(AND(L30="",ΠΕΡΙΦΕΡΕΙΑ!B14&lt;&gt;"Καθόλου"),U16,IF(AND(ΠΕΡΙΦΕΡΕΙΑ!B14="Καθόλου",OR(H30&lt;&gt;"",J30&lt;&gt;"")),"Η περιφέρεια δεν καλύπτεται",""))</f>
        <v/>
      </c>
    </row>
    <row r="1048576" spans="12:12" hidden="1" x14ac:dyDescent="0.25">
      <c r="L1048576" s="297"/>
    </row>
  </sheetData>
  <sheetProtection algorithmName="SHA-512" hashValue="FItNkzN3SuNt+tRGls1+KtFDkpeoxbSYA7zv3YtuJ+QMcrPFl6fzAZcjSO2KKrfvS5IGni15Ig5GEACmColayw==" saltValue="T7g6baMdY3nX5vxVmkVcDA==" spinCount="100000" sheet="1" objects="1" scenarios="1" formatColumns="0" formatRows="0" selectLockedCells="1"/>
  <conditionalFormatting sqref="S3:S30">
    <cfRule type="cellIs" dxfId="3" priority="1" operator="equal">
      <formula>"ΣΦΑΛΜΑ"</formula>
    </cfRule>
  </conditionalFormatting>
  <dataValidations count="3">
    <dataValidation type="list" allowBlank="1" showInputMessage="1" showErrorMessage="1" sqref="C4:C30">
      <formula1>Serv_Type</formula1>
    </dataValidation>
    <dataValidation type="list" allowBlank="1" showInputMessage="1" showErrorMessage="1" sqref="G3:G30">
      <formula1>Percent.</formula1>
    </dataValidation>
    <dataValidation type="list" allowBlank="1" showInputMessage="1" showErrorMessage="1" sqref="C3">
      <formula1>ServiceType</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6"/>
  <sheetViews>
    <sheetView topLeftCell="A2" zoomScale="85" zoomScaleNormal="85" workbookViewId="0">
      <selection activeCell="L3" sqref="L3"/>
    </sheetView>
  </sheetViews>
  <sheetFormatPr defaultColWidth="0" defaultRowHeight="15" zeroHeight="1" x14ac:dyDescent="0.25"/>
  <cols>
    <col min="1" max="1" width="50" style="167" customWidth="1"/>
    <col min="2" max="2" width="23" style="167" hidden="1" customWidth="1"/>
    <col min="3" max="3" width="23" style="167" customWidth="1"/>
    <col min="4" max="4" width="27" style="252" hidden="1" customWidth="1"/>
    <col min="5" max="5" width="38.5703125" style="252" hidden="1" customWidth="1"/>
    <col min="6" max="6" width="38.140625" style="167" customWidth="1"/>
    <col min="7" max="8" width="28.28515625" style="167" customWidth="1"/>
    <col min="9" max="9" width="28.28515625" style="167" hidden="1" customWidth="1"/>
    <col min="10" max="10" width="28.28515625" style="167" customWidth="1"/>
    <col min="11" max="11" width="28.28515625" style="167" hidden="1" customWidth="1"/>
    <col min="12" max="12" width="62.85546875" style="167" customWidth="1"/>
    <col min="13" max="13" width="56.42578125" style="167" customWidth="1"/>
    <col min="14" max="14" width="9.140625" style="167" customWidth="1"/>
    <col min="15" max="15" width="16.140625" style="167" customWidth="1"/>
    <col min="16" max="16" width="58.140625" style="167" customWidth="1"/>
    <col min="17" max="17" width="0" style="167" hidden="1" customWidth="1"/>
    <col min="18" max="16384" width="9.140625" style="167" hidden="1"/>
  </cols>
  <sheetData>
    <row r="1" spans="1:16" ht="15.75" hidden="1" thickBot="1" x14ac:dyDescent="0.3">
      <c r="A1" t="s">
        <v>502</v>
      </c>
      <c r="B1" t="s">
        <v>501</v>
      </c>
      <c r="C1" t="s">
        <v>503</v>
      </c>
      <c r="D1" s="225" t="s">
        <v>900</v>
      </c>
      <c r="E1" s="225" t="s">
        <v>901</v>
      </c>
      <c r="F1" s="79" t="s">
        <v>506</v>
      </c>
      <c r="G1" t="s">
        <v>530</v>
      </c>
      <c r="H1" t="s">
        <v>516</v>
      </c>
      <c r="I1" t="s">
        <v>529</v>
      </c>
      <c r="J1" t="s">
        <v>516</v>
      </c>
      <c r="K1" t="s">
        <v>528</v>
      </c>
      <c r="L1" s="24" t="s">
        <v>531</v>
      </c>
      <c r="M1" s="24" t="s">
        <v>509</v>
      </c>
      <c r="O1" s="24" t="s">
        <v>516</v>
      </c>
      <c r="P1" s="24" t="s">
        <v>516</v>
      </c>
    </row>
    <row r="2" spans="1:16" ht="60.75" thickBot="1" x14ac:dyDescent="0.3">
      <c r="A2" s="3" t="s">
        <v>422</v>
      </c>
      <c r="B2" s="4" t="s">
        <v>28</v>
      </c>
      <c r="C2" s="4" t="s">
        <v>433</v>
      </c>
      <c r="D2" s="240"/>
      <c r="E2" s="240"/>
      <c r="F2" s="4" t="s">
        <v>545</v>
      </c>
      <c r="G2" s="4" t="s">
        <v>499</v>
      </c>
      <c r="H2" s="4" t="s">
        <v>560</v>
      </c>
      <c r="I2" s="4" t="s">
        <v>560</v>
      </c>
      <c r="J2" s="4" t="s">
        <v>561</v>
      </c>
      <c r="K2" s="4" t="s">
        <v>561</v>
      </c>
      <c r="L2" s="4" t="s">
        <v>470</v>
      </c>
      <c r="M2" s="22" t="s">
        <v>421</v>
      </c>
      <c r="O2" s="139" t="s">
        <v>452</v>
      </c>
      <c r="P2" s="103" t="s">
        <v>550</v>
      </c>
    </row>
    <row r="3" spans="1:16" ht="120.75" thickTop="1" x14ac:dyDescent="0.25">
      <c r="A3" s="39" t="s">
        <v>468</v>
      </c>
      <c r="B3" s="47" t="str">
        <f>ΓΕΝΙΚΑ!C4</f>
        <v>VODAFONE</v>
      </c>
      <c r="C3" s="254" t="s">
        <v>434</v>
      </c>
      <c r="D3" s="230">
        <f>IF(O3="",IF(ΓΕΝΙΚΑ!$B$21="ΝΑΙ",15300,""),"")</f>
        <v>15300</v>
      </c>
      <c r="E3" s="220" t="str">
        <f>IF(ΓΕΝΙΚΑ!$B$21="ΝΑΙ","ΠΑΝΕΛΛΑΔΙΚΑ","")</f>
        <v>ΠΑΝΕΛΛΑΔΙΚΑ</v>
      </c>
      <c r="F3" s="40" t="s">
        <v>552</v>
      </c>
      <c r="G3" s="272">
        <f>IF(AND(ISNUMBER(H3),ISNUMBER(J3)),ROUND(H3/J3,2),"")</f>
        <v>0.09</v>
      </c>
      <c r="H3" s="144">
        <v>64038</v>
      </c>
      <c r="I3" s="300">
        <f>IF(ISNUMBER(H3),ROUND(H3,0),"")</f>
        <v>64038</v>
      </c>
      <c r="J3" s="143">
        <v>678216</v>
      </c>
      <c r="K3" s="300">
        <f>IF(ISNUMBER(J3),ROUND(J3,0),"")</f>
        <v>678216</v>
      </c>
      <c r="L3" s="244" t="s">
        <v>951</v>
      </c>
      <c r="M3" s="250"/>
      <c r="O3" s="45" t="str">
        <f>IF(P3&lt;&gt;"","ΣΦΑΛΜΑ","")</f>
        <v/>
      </c>
      <c r="P3" s="140" t="str">
        <f>CONCATENATE(IF(NOT(ISNUMBER(H3)),"Πρέπει να συμπληρωθεί υποχρεωτικά ο αριθμός παραδεκτών αναφορών βλάβης",""),IF(NOT(ISNUMBER(J3)),"  |  Πρέπει να συμπληρωθεί υποχρεωτικά η μέση τιμή γραμμών πρόσβασης",""))</f>
        <v/>
      </c>
    </row>
    <row r="4" spans="1:16" ht="120" x14ac:dyDescent="0.25">
      <c r="A4" s="41" t="str">
        <f t="shared" ref="A4:A16" si="0">A$3</f>
        <v>B06</v>
      </c>
      <c r="B4" s="38" t="str">
        <f t="shared" ref="B4:B16" si="1">B$3</f>
        <v>VODAFONE</v>
      </c>
      <c r="C4" s="38" t="str">
        <f t="shared" ref="C4:C16" si="2">$C$3</f>
        <v>Άμεση</v>
      </c>
      <c r="D4" s="217">
        <f>IF(O4="",IF(ΓΕΝΙΚΑ!$B$21="ΝΑΙ",14664,""),"")</f>
        <v>14664</v>
      </c>
      <c r="E4" s="221" t="str">
        <f>IF(ΓΕΝΙΚΑ!$B$21="ΝΑΙ","Π. ΑΝΑΤΟΛΙΚΗΣ ΜΑΚΕΔΟΝΙΑΣ - ΘΡΑΚΗΣ","")</f>
        <v>Π. ΑΝΑΤΟΛΙΚΗΣ ΜΑΚΕΔΟΝΙΑΣ - ΘΡΑΚΗΣ</v>
      </c>
      <c r="F4" s="23" t="s">
        <v>39</v>
      </c>
      <c r="G4" s="272">
        <f t="shared" ref="G4:G16" si="3">IF(AND(ISNUMBER(H4),ISNUMBER(J4)),ROUND(H4/J4,2),"")</f>
        <v>7.0000000000000007E-2</v>
      </c>
      <c r="H4" s="144">
        <v>1357</v>
      </c>
      <c r="I4" s="300">
        <f t="shared" ref="I4:I16" si="4">IF(ISNUMBER(H4),ROUND(H4,0),"")</f>
        <v>1357</v>
      </c>
      <c r="J4" s="143">
        <v>20020</v>
      </c>
      <c r="K4" s="300">
        <f t="shared" ref="K4:K16" si="5">IF(ISNUMBER(J4),ROUND(J4,0),"")</f>
        <v>20020</v>
      </c>
      <c r="L4" s="265" t="str">
        <f>L$3</f>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4" s="266">
        <f>M$3</f>
        <v>0</v>
      </c>
      <c r="O4" s="122" t="str">
        <f t="shared" ref="O4:O16" si="6">IF(P4&lt;&gt;"","ΣΦΑΛΜΑ","")</f>
        <v/>
      </c>
      <c r="P4" s="141" t="str">
        <f>IF(ΠΕΡΙΦΕΡΕΙΑ!B2="Καθόλου",IF(OR(H4&lt;&gt;"",J4&lt;&gt;""),"Η περιφέρεια δεν καλύπτεται",""),CONCATENATE(IF(NOT(ISNUMBER(H4)),"Πρέπει να συμπληρωθεί υποχρεωτικά ο αριθμός παραδεκτών αναφορών βλάβης",""),IF(NOT(ISNUMBER(J4)),"  |  Πρέπει να συμπληρωθεί υποχρεωτικά η μέση τιμή γραμμών πρόσβασης","")))</f>
        <v/>
      </c>
    </row>
    <row r="5" spans="1:16" ht="120" x14ac:dyDescent="0.25">
      <c r="A5" s="41" t="str">
        <f t="shared" si="0"/>
        <v>B06</v>
      </c>
      <c r="B5" s="38" t="str">
        <f t="shared" si="1"/>
        <v>VODAFONE</v>
      </c>
      <c r="C5" s="38" t="str">
        <f t="shared" si="2"/>
        <v>Άμεση</v>
      </c>
      <c r="D5" s="231">
        <f>IF(O5="",IF(ΓΕΝΙΚΑ!$B$21="ΝΑΙ",14666,""),"")</f>
        <v>14666</v>
      </c>
      <c r="E5" s="222" t="str">
        <f>IF(ΓΕΝΙΚΑ!$B$21="ΝΑΙ","Π. ΑΤΤΙΚΗΣ","")</f>
        <v>Π. ΑΤΤΙΚΗΣ</v>
      </c>
      <c r="F5" s="7" t="s">
        <v>40</v>
      </c>
      <c r="G5" s="272">
        <f t="shared" si="3"/>
        <v>0.11</v>
      </c>
      <c r="H5" s="144">
        <v>38568</v>
      </c>
      <c r="I5" s="300">
        <f t="shared" si="4"/>
        <v>38568</v>
      </c>
      <c r="J5" s="143">
        <v>350133</v>
      </c>
      <c r="K5" s="300">
        <f t="shared" si="5"/>
        <v>350133</v>
      </c>
      <c r="L5" s="265" t="str">
        <f t="shared" ref="L5:M16" si="7">L$3</f>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5" s="266">
        <f t="shared" si="7"/>
        <v>0</v>
      </c>
      <c r="O5" s="122" t="str">
        <f t="shared" si="6"/>
        <v/>
      </c>
      <c r="P5" s="141" t="str">
        <f>IF(ΠΕΡΙΦΕΡΕΙΑ!B3="Καθόλου",IF(OR(H5&lt;&gt;"",J5&lt;&gt;""),"Η περιφέρεια δεν καλύπτεται",""),CONCATENATE(IF(NOT(ISNUMBER(H5)),"Πρέπει να συμπληρωθεί υποχρεωτικά ο αριθμός παραδεκτών αναφορών βλάβης",""),IF(NOT(ISNUMBER(J5)),"  |  Πρέπει να συμπληρωθεί υποχρεωτικά η μέση τιμή γραμμών πρόσβασης","")))</f>
        <v/>
      </c>
    </row>
    <row r="6" spans="1:16" ht="120" x14ac:dyDescent="0.25">
      <c r="A6" s="41" t="str">
        <f t="shared" si="0"/>
        <v>B06</v>
      </c>
      <c r="B6" s="38" t="str">
        <f t="shared" si="1"/>
        <v>VODAFONE</v>
      </c>
      <c r="C6" s="38" t="str">
        <f t="shared" si="2"/>
        <v>Άμεση</v>
      </c>
      <c r="D6" s="217">
        <f>IF(O6="",IF(ΓΕΝΙΚΑ!$B$21="ΝΑΙ",14668,""),"")</f>
        <v>14668</v>
      </c>
      <c r="E6" s="221" t="str">
        <f>IF(ΓΕΝΙΚΑ!$B$21="ΝΑΙ","Π. ΒΟΡΕΙΟΥ ΑΙΓΑΙΟΥ","")</f>
        <v>Π. ΒΟΡΕΙΟΥ ΑΙΓΑΙΟΥ</v>
      </c>
      <c r="F6" s="23" t="s">
        <v>404</v>
      </c>
      <c r="G6" s="272">
        <f t="shared" si="3"/>
        <v>7.0000000000000007E-2</v>
      </c>
      <c r="H6" s="144">
        <v>262</v>
      </c>
      <c r="I6" s="300">
        <f t="shared" si="4"/>
        <v>262</v>
      </c>
      <c r="J6" s="143">
        <v>3757</v>
      </c>
      <c r="K6" s="300">
        <f t="shared" si="5"/>
        <v>3757</v>
      </c>
      <c r="L6" s="265"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6" s="266">
        <f t="shared" si="7"/>
        <v>0</v>
      </c>
      <c r="O6" s="122" t="str">
        <f t="shared" si="6"/>
        <v/>
      </c>
      <c r="P6" s="141" t="str">
        <f>IF(ΠΕΡΙΦΕΡΕΙΑ!B4="Καθόλου",IF(OR(H6&lt;&gt;"",J6&lt;&gt;""),"Η περιφέρεια δεν καλύπτεται",""),CONCATENATE(IF(NOT(ISNUMBER(H6)),"Πρέπει να συμπληρωθεί υποχρεωτικά ο αριθμός παραδεκτών αναφορών βλάβης",""),IF(NOT(ISNUMBER(J6)),"  |  Πρέπει να συμπληρωθεί υποχρεωτικά η μέση τιμή γραμμών πρόσβασης","")))</f>
        <v/>
      </c>
    </row>
    <row r="7" spans="1:16" ht="120" x14ac:dyDescent="0.25">
      <c r="A7" s="41" t="str">
        <f t="shared" si="0"/>
        <v>B06</v>
      </c>
      <c r="B7" s="38" t="str">
        <f t="shared" si="1"/>
        <v>VODAFONE</v>
      </c>
      <c r="C7" s="38" t="str">
        <f t="shared" si="2"/>
        <v>Άμεση</v>
      </c>
      <c r="D7" s="231">
        <f>IF(O7="",IF(ΓΕΝΙΚΑ!$B$21="ΝΑΙ",14670,""),"")</f>
        <v>14670</v>
      </c>
      <c r="E7" s="222" t="str">
        <f>IF(ΓΕΝΙΚΑ!$B$21="ΝΑΙ","Π. ΔΥΤΙΚΗΣ ΕΛΛΑΔΑΣ","")</f>
        <v>Π. ΔΥΤΙΚΗΣ ΕΛΛΑΔΑΣ</v>
      </c>
      <c r="F7" s="7" t="s">
        <v>405</v>
      </c>
      <c r="G7" s="272">
        <f t="shared" si="3"/>
        <v>0.08</v>
      </c>
      <c r="H7" s="144">
        <v>3245</v>
      </c>
      <c r="I7" s="300">
        <f t="shared" si="4"/>
        <v>3245</v>
      </c>
      <c r="J7" s="143">
        <v>38972</v>
      </c>
      <c r="K7" s="300">
        <f t="shared" si="5"/>
        <v>38972</v>
      </c>
      <c r="L7" s="265"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7" s="266">
        <f t="shared" si="7"/>
        <v>0</v>
      </c>
      <c r="O7" s="122" t="str">
        <f t="shared" si="6"/>
        <v/>
      </c>
      <c r="P7" s="141" t="str">
        <f>IF(ΠΕΡΙΦΕΡΕΙΑ!B5="Καθόλου",IF(OR(H7&lt;&gt;"",J7&lt;&gt;""),"Η περιφέρεια δεν καλύπτεται",""),CONCATENATE(IF(NOT(ISNUMBER(H7)),"Πρέπει να συμπληρωθεί υποχρεωτικά ο αριθμός παραδεκτών αναφορών βλάβης",""),IF(NOT(ISNUMBER(J7)),"  |  Πρέπει να συμπληρωθεί υποχρεωτικά η μέση τιμή γραμμών πρόσβασης","")))</f>
        <v/>
      </c>
    </row>
    <row r="8" spans="1:16" ht="120" x14ac:dyDescent="0.25">
      <c r="A8" s="41" t="str">
        <f t="shared" si="0"/>
        <v>B06</v>
      </c>
      <c r="B8" s="38" t="str">
        <f t="shared" si="1"/>
        <v>VODAFONE</v>
      </c>
      <c r="C8" s="38" t="str">
        <f t="shared" si="2"/>
        <v>Άμεση</v>
      </c>
      <c r="D8" s="217">
        <f>IF(O8="",IF(ΓΕΝΙΚΑ!$B$21="ΝΑΙ",14672,""),"")</f>
        <v>14672</v>
      </c>
      <c r="E8" s="221" t="str">
        <f>IF(ΓΕΝΙΚΑ!$B$21="ΝΑΙ","Π. ΔΥΤΙΚΗΣ ΜΑΚΕΔΟΝΙΑΣ","")</f>
        <v>Π. ΔΥΤΙΚΗΣ ΜΑΚΕΔΟΝΙΑΣ</v>
      </c>
      <c r="F8" s="23" t="s">
        <v>406</v>
      </c>
      <c r="G8" s="272">
        <f t="shared" si="3"/>
        <v>0.08</v>
      </c>
      <c r="H8" s="144">
        <v>521</v>
      </c>
      <c r="I8" s="300">
        <f t="shared" si="4"/>
        <v>521</v>
      </c>
      <c r="J8" s="143">
        <v>6811</v>
      </c>
      <c r="K8" s="300">
        <f t="shared" si="5"/>
        <v>6811</v>
      </c>
      <c r="L8" s="265"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8" s="266">
        <f t="shared" si="7"/>
        <v>0</v>
      </c>
      <c r="O8" s="122" t="str">
        <f t="shared" si="6"/>
        <v/>
      </c>
      <c r="P8" s="141" t="str">
        <f>IF(ΠΕΡΙΦΕΡΕΙΑ!B6="Καθόλου",IF(OR(H8&lt;&gt;"",J8&lt;&gt;""),"Η περιφέρεια δεν καλύπτεται",""),CONCATENATE(IF(NOT(ISNUMBER(H8)),"Πρέπει να συμπληρωθεί υποχρεωτικά ο αριθμός παραδεκτών αναφορών βλάβης",""),IF(NOT(ISNUMBER(J8)),"  |  Πρέπει να συμπληρωθεί υποχρεωτικά η μέση τιμή γραμμών πρόσβασης","")))</f>
        <v/>
      </c>
    </row>
    <row r="9" spans="1:16" ht="120" x14ac:dyDescent="0.25">
      <c r="A9" s="41" t="str">
        <f t="shared" si="0"/>
        <v>B06</v>
      </c>
      <c r="B9" s="38" t="str">
        <f t="shared" si="1"/>
        <v>VODAFONE</v>
      </c>
      <c r="C9" s="38" t="str">
        <f t="shared" si="2"/>
        <v>Άμεση</v>
      </c>
      <c r="D9" s="231">
        <f>IF(O9="",IF(ΓΕΝΙΚΑ!$B$21="ΝΑΙ",14674,""),"")</f>
        <v>14674</v>
      </c>
      <c r="E9" s="222" t="str">
        <f>IF(ΓΕΝΙΚΑ!$B$21="ΝΑΙ","Π. ΗΠΕΙΡΟΥ","")</f>
        <v>Π. ΗΠΕΙΡΟΥ</v>
      </c>
      <c r="F9" s="7" t="s">
        <v>407</v>
      </c>
      <c r="G9" s="272">
        <f t="shared" si="3"/>
        <v>0.08</v>
      </c>
      <c r="H9" s="144">
        <v>1796</v>
      </c>
      <c r="I9" s="300">
        <f t="shared" si="4"/>
        <v>1796</v>
      </c>
      <c r="J9" s="143">
        <v>23186</v>
      </c>
      <c r="K9" s="300">
        <f t="shared" si="5"/>
        <v>23186</v>
      </c>
      <c r="L9" s="265"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9" s="266">
        <f t="shared" si="7"/>
        <v>0</v>
      </c>
      <c r="O9" s="122" t="str">
        <f t="shared" si="6"/>
        <v/>
      </c>
      <c r="P9" s="141" t="str">
        <f>IF(ΠΕΡΙΦΕΡΕΙΑ!B7="Καθόλου",IF(OR(H9&lt;&gt;"",J9&lt;&gt;""),"Η περιφέρεια δεν καλύπτεται",""),CONCATENATE(IF(NOT(ISNUMBER(H9)),"Πρέπει να συμπληρωθεί υποχρεωτικά ο αριθμός παραδεκτών αναφορών βλάβης",""),IF(NOT(ISNUMBER(J9)),"  |  Πρέπει να συμπληρωθεί υποχρεωτικά η μέση τιμή γραμμών πρόσβασης","")))</f>
        <v/>
      </c>
    </row>
    <row r="10" spans="1:16" ht="120" x14ac:dyDescent="0.25">
      <c r="A10" s="41" t="str">
        <f t="shared" si="0"/>
        <v>B06</v>
      </c>
      <c r="B10" s="38" t="str">
        <f t="shared" si="1"/>
        <v>VODAFONE</v>
      </c>
      <c r="C10" s="38" t="str">
        <f t="shared" si="2"/>
        <v>Άμεση</v>
      </c>
      <c r="D10" s="217">
        <f>IF(O10="",IF(ΓΕΝΙΚΑ!$B$21="ΝΑΙ",14676,""),"")</f>
        <v>14676</v>
      </c>
      <c r="E10" s="221" t="str">
        <f>IF(ΓΕΝΙΚΑ!$B$21="ΝΑΙ","Π. ΘΕΣΣΑΛΙΑΣ","")</f>
        <v>Π. ΘΕΣΣΑΛΙΑΣ</v>
      </c>
      <c r="F10" s="23" t="s">
        <v>408</v>
      </c>
      <c r="G10" s="272">
        <f t="shared" si="3"/>
        <v>7.0000000000000007E-2</v>
      </c>
      <c r="H10" s="144">
        <v>2802</v>
      </c>
      <c r="I10" s="300">
        <f t="shared" si="4"/>
        <v>2802</v>
      </c>
      <c r="J10" s="143">
        <v>41056</v>
      </c>
      <c r="K10" s="300">
        <f t="shared" si="5"/>
        <v>41056</v>
      </c>
      <c r="L10" s="265"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10" s="266">
        <f t="shared" si="7"/>
        <v>0</v>
      </c>
      <c r="O10" s="122" t="str">
        <f t="shared" si="6"/>
        <v/>
      </c>
      <c r="P10" s="141" t="str">
        <f>IF(ΠΕΡΙΦΕΡΕΙΑ!B8="Καθόλου",IF(OR(H10&lt;&gt;"",J10&lt;&gt;""),"Η περιφέρεια δεν καλύπτεται",""),CONCATENATE(IF(NOT(ISNUMBER(H10)),"Πρέπει να συμπληρωθεί υποχρεωτικά ο αριθμός παραδεκτών αναφορών βλάβης",""),IF(NOT(ISNUMBER(J10)),"  |  Πρέπει να συμπληρωθεί υποχρεωτικά η μέση τιμή γραμμών πρόσβασης","")))</f>
        <v/>
      </c>
    </row>
    <row r="11" spans="1:16" ht="120" x14ac:dyDescent="0.25">
      <c r="A11" s="41" t="str">
        <f t="shared" si="0"/>
        <v>B06</v>
      </c>
      <c r="B11" s="38" t="str">
        <f t="shared" si="1"/>
        <v>VODAFONE</v>
      </c>
      <c r="C11" s="38" t="str">
        <f t="shared" si="2"/>
        <v>Άμεση</v>
      </c>
      <c r="D11" s="231">
        <f>IF(O11="",IF(ΓΕΝΙΚΑ!$B$21="ΝΑΙ",14678,""),"")</f>
        <v>14678</v>
      </c>
      <c r="E11" s="222" t="str">
        <f>IF(ΓΕΝΙΚΑ!$B$21="ΝΑΙ","Π. ΙΟΝΙΩΝ ΝΗΣΩΝ","")</f>
        <v>Π. ΙΟΝΙΩΝ ΝΗΣΩΝ</v>
      </c>
      <c r="F11" s="7" t="s">
        <v>409</v>
      </c>
      <c r="G11" s="272">
        <f t="shared" si="3"/>
        <v>0.09</v>
      </c>
      <c r="H11" s="144">
        <v>509</v>
      </c>
      <c r="I11" s="300">
        <f t="shared" si="4"/>
        <v>509</v>
      </c>
      <c r="J11" s="143">
        <v>5812</v>
      </c>
      <c r="K11" s="300">
        <f t="shared" si="5"/>
        <v>5812</v>
      </c>
      <c r="L11" s="265"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11" s="266">
        <f t="shared" si="7"/>
        <v>0</v>
      </c>
      <c r="O11" s="122" t="str">
        <f t="shared" si="6"/>
        <v/>
      </c>
      <c r="P11" s="141" t="str">
        <f>IF(ΠΕΡΙΦΕΡΕΙΑ!B9="Καθόλου",IF(OR(H11&lt;&gt;"",J11&lt;&gt;""),"Η περιφέρεια δεν καλύπτεται",""),CONCATENATE(IF(NOT(ISNUMBER(H11)),"Πρέπει να συμπληρωθεί υποχρεωτικά ο αριθμός παραδεκτών αναφορών βλάβης",""),IF(NOT(ISNUMBER(J11)),"  |  Πρέπει να συμπληρωθεί υποχρεωτικά η μέση τιμή γραμμών πρόσβασης","")))</f>
        <v/>
      </c>
    </row>
    <row r="12" spans="1:16" ht="120" x14ac:dyDescent="0.25">
      <c r="A12" s="41" t="str">
        <f t="shared" si="0"/>
        <v>B06</v>
      </c>
      <c r="B12" s="38" t="str">
        <f t="shared" si="1"/>
        <v>VODAFONE</v>
      </c>
      <c r="C12" s="38" t="str">
        <f t="shared" si="2"/>
        <v>Άμεση</v>
      </c>
      <c r="D12" s="217">
        <f>IF(O12="",IF(ΓΕΝΙΚΑ!$B$21="ΝΑΙ",14680,""),"")</f>
        <v>14680</v>
      </c>
      <c r="E12" s="221" t="str">
        <f>IF(ΓΕΝΙΚΑ!$B$21="ΝΑΙ","Π. ΚΕΝΤΡΙΚΗΣ ΜΑΚΕΔΟΝΙΑΣ","")</f>
        <v>Π. ΚΕΝΤΡΙΚΗΣ ΜΑΚΕΔΟΝΙΑΣ</v>
      </c>
      <c r="F12" s="23" t="s">
        <v>410</v>
      </c>
      <c r="G12" s="272">
        <f t="shared" si="3"/>
        <v>0.08</v>
      </c>
      <c r="H12" s="144">
        <v>8073</v>
      </c>
      <c r="I12" s="300">
        <f t="shared" si="4"/>
        <v>8073</v>
      </c>
      <c r="J12" s="143">
        <v>99409</v>
      </c>
      <c r="K12" s="300">
        <f t="shared" si="5"/>
        <v>99409</v>
      </c>
      <c r="L12" s="265"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12" s="266">
        <f t="shared" si="7"/>
        <v>0</v>
      </c>
      <c r="O12" s="122" t="str">
        <f t="shared" si="6"/>
        <v/>
      </c>
      <c r="P12" s="141" t="str">
        <f>IF(ΠΕΡΙΦΕΡΕΙΑ!B10="Καθόλου",IF(OR(H12&lt;&gt;"",J12&lt;&gt;""),"Η περιφέρεια δεν καλύπτεται",""),CONCATENATE(IF(NOT(ISNUMBER(H12)),"Πρέπει να συμπληρωθεί υποχρεωτικά ο αριθμός παραδεκτών αναφορών βλάβης",""),IF(NOT(ISNUMBER(J12)),"  |  Πρέπει να συμπληρωθεί υποχρεωτικά η μέση τιμή γραμμών πρόσβασης","")))</f>
        <v/>
      </c>
    </row>
    <row r="13" spans="1:16" ht="120" x14ac:dyDescent="0.25">
      <c r="A13" s="41" t="str">
        <f t="shared" si="0"/>
        <v>B06</v>
      </c>
      <c r="B13" s="38" t="str">
        <f t="shared" si="1"/>
        <v>VODAFONE</v>
      </c>
      <c r="C13" s="38" t="str">
        <f t="shared" si="2"/>
        <v>Άμεση</v>
      </c>
      <c r="D13" s="231">
        <f>IF(O13="",IF(ΓΕΝΙΚΑ!$B$21="ΝΑΙ",14682,""),"")</f>
        <v>14682</v>
      </c>
      <c r="E13" s="222" t="str">
        <f>IF(ΓΕΝΙΚΑ!$B$21="ΝΑΙ","Π. ΚΡΗΤΗΣ","")</f>
        <v>Π. ΚΡΗΤΗΣ</v>
      </c>
      <c r="F13" s="7" t="s">
        <v>411</v>
      </c>
      <c r="G13" s="272">
        <f t="shared" si="3"/>
        <v>0.08</v>
      </c>
      <c r="H13" s="144">
        <v>1482</v>
      </c>
      <c r="I13" s="300">
        <f t="shared" si="4"/>
        <v>1482</v>
      </c>
      <c r="J13" s="143">
        <v>17897</v>
      </c>
      <c r="K13" s="300">
        <f t="shared" si="5"/>
        <v>17897</v>
      </c>
      <c r="L13" s="265"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13" s="266">
        <f t="shared" si="7"/>
        <v>0</v>
      </c>
      <c r="O13" s="122" t="str">
        <f t="shared" si="6"/>
        <v/>
      </c>
      <c r="P13" s="141" t="str">
        <f>IF(ΠΕΡΙΦΕΡΕΙΑ!B11="Καθόλου",IF(OR(H13&lt;&gt;"",J13&lt;&gt;""),"Η περιφέρεια δεν καλύπτεται",""),CONCATENATE(IF(NOT(ISNUMBER(H13)),"Πρέπει να συμπληρωθεί υποχρεωτικά ο αριθμός παραδεκτών αναφορών βλάβης",""),IF(NOT(ISNUMBER(J13)),"  |  Πρέπει να συμπληρωθεί υποχρεωτικά η μέση τιμή γραμμών πρόσβασης","")))</f>
        <v/>
      </c>
    </row>
    <row r="14" spans="1:16" ht="120" x14ac:dyDescent="0.25">
      <c r="A14" s="41" t="str">
        <f t="shared" si="0"/>
        <v>B06</v>
      </c>
      <c r="B14" s="38" t="str">
        <f t="shared" si="1"/>
        <v>VODAFONE</v>
      </c>
      <c r="C14" s="38" t="str">
        <f t="shared" si="2"/>
        <v>Άμεση</v>
      </c>
      <c r="D14" s="217">
        <f>IF(O14="",IF(ΓΕΝΙΚΑ!$B$21="ΝΑΙ",14684,""),"")</f>
        <v>14684</v>
      </c>
      <c r="E14" s="221" t="str">
        <f>IF(ΓΕΝΙΚΑ!$B$21="ΝΑΙ","Π. ΝΟΤΙΟΥ ΑΙΓΑΙΟΥ","")</f>
        <v>Π. ΝΟΤΙΟΥ ΑΙΓΑΙΟΥ</v>
      </c>
      <c r="F14" s="23" t="s">
        <v>412</v>
      </c>
      <c r="G14" s="272">
        <f t="shared" si="3"/>
        <v>0.09</v>
      </c>
      <c r="H14" s="144">
        <v>1000</v>
      </c>
      <c r="I14" s="300">
        <f t="shared" si="4"/>
        <v>1000</v>
      </c>
      <c r="J14" s="143">
        <v>10999</v>
      </c>
      <c r="K14" s="300">
        <f t="shared" si="5"/>
        <v>10999</v>
      </c>
      <c r="L14" s="265"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14" s="266">
        <f t="shared" si="7"/>
        <v>0</v>
      </c>
      <c r="O14" s="122" t="str">
        <f t="shared" si="6"/>
        <v/>
      </c>
      <c r="P14" s="141" t="str">
        <f>IF(ΠΕΡΙΦΕΡΕΙΑ!B12="Καθόλου",IF(OR(H14&lt;&gt;"",J14&lt;&gt;""),"Η περιφέρεια δεν καλύπτεται",""),CONCATENATE(IF(NOT(ISNUMBER(H14)),"Πρέπει να συμπληρωθεί υποχρεωτικά ο αριθμός παραδεκτών αναφορών βλάβης",""),IF(NOT(ISNUMBER(J14)),"  |  Πρέπει να συμπληρωθεί υποχρεωτικά η μέση τιμή γραμμών πρόσβασης","")))</f>
        <v/>
      </c>
    </row>
    <row r="15" spans="1:16" ht="120" x14ac:dyDescent="0.25">
      <c r="A15" s="41" t="str">
        <f t="shared" si="0"/>
        <v>B06</v>
      </c>
      <c r="B15" s="38" t="str">
        <f t="shared" si="1"/>
        <v>VODAFONE</v>
      </c>
      <c r="C15" s="38" t="str">
        <f t="shared" si="2"/>
        <v>Άμεση</v>
      </c>
      <c r="D15" s="231">
        <f>IF(O15="",IF(ΓΕΝΙΚΑ!$B$21="ΝΑΙ",14686,""),"")</f>
        <v>14686</v>
      </c>
      <c r="E15" s="222" t="str">
        <f>IF(ΓΕΝΙΚΑ!$B$21="ΝΑΙ","Π. ΠΕΛΟΠΟΝΝΗΣΟΥ","")</f>
        <v>Π. ΠΕΛΟΠΟΝΝΗΣΟΥ</v>
      </c>
      <c r="F15" s="7" t="s">
        <v>413</v>
      </c>
      <c r="G15" s="272">
        <f t="shared" si="3"/>
        <v>7.0000000000000007E-2</v>
      </c>
      <c r="H15" s="144">
        <v>2033</v>
      </c>
      <c r="I15" s="300">
        <f t="shared" si="4"/>
        <v>2033</v>
      </c>
      <c r="J15" s="143">
        <v>27350</v>
      </c>
      <c r="K15" s="300">
        <f t="shared" si="5"/>
        <v>27350</v>
      </c>
      <c r="L15" s="265"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15" s="266">
        <f t="shared" si="7"/>
        <v>0</v>
      </c>
      <c r="O15" s="122" t="str">
        <f t="shared" si="6"/>
        <v/>
      </c>
      <c r="P15" s="141" t="str">
        <f>IF(ΠΕΡΙΦΕΡΕΙΑ!B13="Καθόλου",IF(OR(H15&lt;&gt;"",J15&lt;&gt;""),"Η περιφέρεια δεν καλύπτεται",""),CONCATENATE(IF(NOT(ISNUMBER(H15)),"Πρέπει να συμπληρωθεί υποχρεωτικά ο αριθμός παραδεκτών αναφορών βλάβης",""),IF(NOT(ISNUMBER(J15)),"  |  Πρέπει να συμπληρωθεί υποχρεωτικά η μέση τιμή γραμμών πρόσβασης","")))</f>
        <v/>
      </c>
    </row>
    <row r="16" spans="1:16" ht="120.75" thickBot="1" x14ac:dyDescent="0.3">
      <c r="A16" s="42" t="str">
        <f t="shared" si="0"/>
        <v>B06</v>
      </c>
      <c r="B16" s="43" t="str">
        <f t="shared" si="1"/>
        <v>VODAFONE</v>
      </c>
      <c r="C16" s="43" t="str">
        <f t="shared" si="2"/>
        <v>Άμεση</v>
      </c>
      <c r="D16" s="218">
        <f>IF(O16="",IF(ΓΕΝΙΚΑ!$B$21="ΝΑΙ",14688,""),"")</f>
        <v>14688</v>
      </c>
      <c r="E16" s="223" t="str">
        <f>IF(ΓΕΝΙΚΑ!$B$21="ΝΑΙ","Π. ΣΤΕΡΕΑΣ ΕΛΛΑΔΑΣ","")</f>
        <v>Π. ΣΤΕΡΕΑΣ ΕΛΛΑΔΑΣ</v>
      </c>
      <c r="F16" s="34" t="s">
        <v>414</v>
      </c>
      <c r="G16" s="272">
        <f t="shared" si="3"/>
        <v>7.0000000000000007E-2</v>
      </c>
      <c r="H16" s="144">
        <v>2390</v>
      </c>
      <c r="I16" s="300">
        <f t="shared" si="4"/>
        <v>2390</v>
      </c>
      <c r="J16" s="143">
        <v>32814</v>
      </c>
      <c r="K16" s="300">
        <f t="shared" si="5"/>
        <v>32814</v>
      </c>
      <c r="L16" s="267" t="str">
        <f t="shared" si="7"/>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M16" s="268">
        <f t="shared" si="7"/>
        <v>0</v>
      </c>
      <c r="O16" s="123" t="str">
        <f t="shared" si="6"/>
        <v/>
      </c>
      <c r="P16" s="142" t="str">
        <f>IF(ΠΕΡΙΦΕΡΕΙΑ!B14="Καθόλου",IF(OR(H16&lt;&gt;"",J16&lt;&gt;""),"Η περιφέρεια δεν καλύπτεται",""),CONCATENATE(IF(NOT(ISNUMBER(H16)),"Πρέπει να συμπληρωθεί υποχρεωτικά ο αριθμός παραδεκτών αναφορών βλάβης",""),IF(NOT(ISNUMBER(J16)),"  |  Πρέπει να συμπληρωθεί υποχρεωτικά η μέση τιμή γραμμών πρόσβασης","")))</f>
        <v/>
      </c>
    </row>
  </sheetData>
  <sheetProtection password="ECDD" sheet="1" objects="1" scenarios="1" formatColumns="0" formatRows="0" selectLockedCells="1"/>
  <conditionalFormatting sqref="O3:O16">
    <cfRule type="cellIs" dxfId="2" priority="1" operator="equal">
      <formula>"ΣΦΑΛΜΑ"</formula>
    </cfRule>
  </conditionalFormatting>
  <dataValidations count="2">
    <dataValidation type="list" allowBlank="1" showInputMessage="1" showErrorMessage="1" sqref="C4:C16">
      <formula1>Serv_Type</formula1>
    </dataValidation>
    <dataValidation type="list" allowBlank="1" showInputMessage="1" showErrorMessage="1" sqref="C3">
      <formula1>ServiceType</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30"/>
  <sheetViews>
    <sheetView topLeftCell="A2" zoomScale="85" zoomScaleNormal="85" workbookViewId="0">
      <selection activeCell="H3" sqref="H3"/>
    </sheetView>
  </sheetViews>
  <sheetFormatPr defaultColWidth="0" defaultRowHeight="15" zeroHeight="1" x14ac:dyDescent="0.25"/>
  <cols>
    <col min="1" max="1" width="50" style="167" customWidth="1"/>
    <col min="2" max="2" width="23" style="167" hidden="1" customWidth="1"/>
    <col min="3" max="3" width="23" style="167" customWidth="1"/>
    <col min="4" max="4" width="38.140625" style="252" hidden="1" customWidth="1"/>
    <col min="5" max="5" width="37.42578125" style="252" hidden="1" customWidth="1"/>
    <col min="6" max="6" width="38.140625" style="167" customWidth="1"/>
    <col min="7" max="7" width="26" style="167" customWidth="1"/>
    <col min="8" max="8" width="28.28515625" style="167" customWidth="1"/>
    <col min="9" max="9" width="28.28515625" style="167" hidden="1" customWidth="1"/>
    <col min="10" max="10" width="35.140625" style="167" customWidth="1"/>
    <col min="11" max="11" width="28.28515625" style="167" hidden="1" customWidth="1"/>
    <col min="12" max="13" width="28.28515625" style="167" customWidth="1"/>
    <col min="14" max="14" width="28.28515625" style="167" hidden="1" customWidth="1"/>
    <col min="15" max="15" width="40.28515625" style="167" customWidth="1"/>
    <col min="16" max="17" width="31.28515625" style="167" customWidth="1"/>
    <col min="18" max="18" width="9.140625" style="167" customWidth="1"/>
    <col min="19" max="19" width="16.140625" style="167" customWidth="1"/>
    <col min="20" max="20" width="72.7109375" style="167" customWidth="1"/>
    <col min="21" max="16384" width="9.140625" style="167" hidden="1"/>
  </cols>
  <sheetData>
    <row r="1" spans="1:28" ht="15.75" hidden="1" thickBot="1" x14ac:dyDescent="0.3">
      <c r="A1" t="s">
        <v>502</v>
      </c>
      <c r="B1" t="s">
        <v>501</v>
      </c>
      <c r="C1" s="2" t="s">
        <v>503</v>
      </c>
      <c r="D1" s="225" t="s">
        <v>900</v>
      </c>
      <c r="E1" s="225" t="s">
        <v>901</v>
      </c>
      <c r="F1" s="60" t="s">
        <v>506</v>
      </c>
      <c r="G1" t="s">
        <v>521</v>
      </c>
      <c r="H1" t="s">
        <v>516</v>
      </c>
      <c r="I1" t="s">
        <v>532</v>
      </c>
      <c r="J1" t="s">
        <v>516</v>
      </c>
      <c r="K1" t="s">
        <v>533</v>
      </c>
      <c r="L1" t="s">
        <v>534</v>
      </c>
      <c r="M1" t="s">
        <v>516</v>
      </c>
      <c r="N1" s="224" t="s">
        <v>516</v>
      </c>
      <c r="O1" s="24" t="s">
        <v>919</v>
      </c>
      <c r="P1" s="2" t="s">
        <v>535</v>
      </c>
      <c r="Q1" s="24" t="s">
        <v>509</v>
      </c>
      <c r="S1" s="24" t="s">
        <v>516</v>
      </c>
      <c r="T1" s="24" t="s">
        <v>516</v>
      </c>
    </row>
    <row r="2" spans="1:28" ht="108.75" thickBot="1" x14ac:dyDescent="0.3">
      <c r="A2" s="3" t="s">
        <v>422</v>
      </c>
      <c r="B2" s="4" t="s">
        <v>28</v>
      </c>
      <c r="C2" s="4" t="s">
        <v>433</v>
      </c>
      <c r="D2" s="226"/>
      <c r="E2" s="226"/>
      <c r="F2" s="4" t="s">
        <v>545</v>
      </c>
      <c r="G2" s="4" t="s">
        <v>500</v>
      </c>
      <c r="H2" s="4" t="s">
        <v>562</v>
      </c>
      <c r="I2" s="4" t="s">
        <v>562</v>
      </c>
      <c r="J2" s="4" t="s">
        <v>569</v>
      </c>
      <c r="K2" s="4" t="s">
        <v>563</v>
      </c>
      <c r="L2" s="4" t="s">
        <v>564</v>
      </c>
      <c r="M2" s="4" t="s">
        <v>565</v>
      </c>
      <c r="N2" s="4" t="s">
        <v>565</v>
      </c>
      <c r="O2" s="4" t="s">
        <v>470</v>
      </c>
      <c r="P2" s="81" t="s">
        <v>465</v>
      </c>
      <c r="Q2" s="22" t="s">
        <v>421</v>
      </c>
      <c r="S2" s="121" t="s">
        <v>452</v>
      </c>
      <c r="T2" s="103" t="s">
        <v>550</v>
      </c>
      <c r="W2" s="280" t="s">
        <v>913</v>
      </c>
      <c r="X2" s="280" t="s">
        <v>914</v>
      </c>
    </row>
    <row r="3" spans="1:28" ht="409.6" thickTop="1" x14ac:dyDescent="0.25">
      <c r="A3" s="39" t="s">
        <v>467</v>
      </c>
      <c r="B3" s="47" t="str">
        <f>ΓΕΝΙΚΑ!C4</f>
        <v>VODAFONE</v>
      </c>
      <c r="C3" s="131" t="s">
        <v>434</v>
      </c>
      <c r="D3" s="230">
        <f>IF(S3="",IF(ΓΕΝΙΚΑ!$B$22="ΝΑΙ",15300,""),"")</f>
        <v>15300</v>
      </c>
      <c r="E3" s="220" t="str">
        <f>IF(ΓΕΝΙΚΑ!$B$22="ΝΑΙ","ΠΑΝΕΛΛΑΔΙΚΑ","")</f>
        <v>ΠΑΝΕΛΛΑΔΙΚΑ</v>
      </c>
      <c r="F3" s="40" t="s">
        <v>552</v>
      </c>
      <c r="G3" s="5">
        <v>50</v>
      </c>
      <c r="H3" s="305">
        <v>43.81</v>
      </c>
      <c r="I3" s="133"/>
      <c r="J3" s="305">
        <v>75.8</v>
      </c>
      <c r="K3" s="133">
        <f>IF(ISNUMBER(J3),ROUND(J3,2),"")</f>
        <v>75.8</v>
      </c>
      <c r="L3" s="308">
        <f>IF(AND(ISNUMBER(H3),ISNUMBER(J3)),ROUND(H3+J3,0),IF(ISNUMBER(H3),ROUND(H3,0),IF(ISNUMBER(J3),ROUND(J3,0),"")))</f>
        <v>120</v>
      </c>
      <c r="M3" s="146">
        <v>33</v>
      </c>
      <c r="N3" s="301">
        <f>IF(ISNUMBER(M3),ROUND(M3,2),"")</f>
        <v>33</v>
      </c>
      <c r="O3" s="251" t="s">
        <v>952</v>
      </c>
      <c r="P3" s="247" t="s">
        <v>953</v>
      </c>
      <c r="Q3" s="248"/>
      <c r="S3" s="122" t="str">
        <f>IF(T3="","","ΣΦΑΛΜΑ")</f>
        <v/>
      </c>
      <c r="T3" s="191" t="str">
        <f>CONCATENATE(IF(NOT(ISNUMBER(H3)),U3,IF(H3&gt;H17,W3,"")),IF(J3&gt;J17,X3,""),IF(NOT(ISNUMBER(M3)),AA3,IF(M3&gt;M17,AB3,"")))</f>
        <v/>
      </c>
      <c r="U3" s="280" t="s">
        <v>570</v>
      </c>
      <c r="V3" s="280" t="s">
        <v>912</v>
      </c>
      <c r="W3" s="280"/>
      <c r="X3" s="280"/>
      <c r="Y3" s="280" t="s">
        <v>915</v>
      </c>
      <c r="Z3" s="280" t="s">
        <v>574</v>
      </c>
      <c r="AA3" s="280" t="s">
        <v>916</v>
      </c>
      <c r="AB3" s="167" t="s">
        <v>917</v>
      </c>
    </row>
    <row r="4" spans="1:28" ht="409.5" x14ac:dyDescent="0.25">
      <c r="A4" s="41" t="str">
        <f t="shared" ref="A4:B30" si="0">A$3</f>
        <v>B07</v>
      </c>
      <c r="B4" s="38" t="str">
        <f t="shared" si="0"/>
        <v>VODAFONE</v>
      </c>
      <c r="C4" s="38" t="str">
        <f t="shared" ref="C4:C30" si="1">$C$3</f>
        <v>Άμεση</v>
      </c>
      <c r="D4" s="217">
        <f>IF(S4="",IF(ΓΕΝΙΚΑ!$B$22="ΝΑΙ",14664,""),"")</f>
        <v>14664</v>
      </c>
      <c r="E4" s="221" t="str">
        <f>IF(ΓΕΝΙΚΑ!$B$22="ΝΑΙ","Π. ΑΝΑΤΟΛΙΚΗΣ ΜΑΚΕΔΟΝΙΑΣ - ΘΡΑΚΗΣ","")</f>
        <v>Π. ΑΝΑΤΟΛΙΚΗΣ ΜΑΚΕΔΟΝΙΑΣ - ΘΡΑΚΗΣ</v>
      </c>
      <c r="F4" s="7" t="s">
        <v>39</v>
      </c>
      <c r="G4" s="7">
        <v>50</v>
      </c>
      <c r="H4" s="306">
        <v>44.68</v>
      </c>
      <c r="I4" s="249">
        <f t="shared" ref="I4:I30" si="2">IF(ISNUMBER(H4),ROUND(H4,2),"")</f>
        <v>44.68</v>
      </c>
      <c r="J4" s="306">
        <v>70.319999999999993</v>
      </c>
      <c r="K4" s="249">
        <f t="shared" ref="K4:K30" si="3">IF(ISNUMBER(J4),ROUND(J4,2),"")</f>
        <v>70.319999999999993</v>
      </c>
      <c r="L4" s="309">
        <f t="shared" ref="L4:L30" si="4">IF(AND(ISNUMBER(H4),ISNUMBER(J4)),ROUND(H4+J4,0),IF(ISNUMBER(H4),ROUND(H4,0),IF(ISNUMBER(J4),ROUND(J4,0),"")))</f>
        <v>115</v>
      </c>
      <c r="M4" s="147">
        <v>47</v>
      </c>
      <c r="N4" s="301">
        <f t="shared" ref="N4:N30" si="5">IF(ISNUMBER(M4),ROUND(M4,2),"")</f>
        <v>47</v>
      </c>
      <c r="O4" s="265" t="str">
        <f>O$3</f>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4" s="265" t="str">
        <f t="shared" ref="P4:Q30" si="6">P$3</f>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4" s="266">
        <f t="shared" si="6"/>
        <v>0</v>
      </c>
      <c r="S4" s="122" t="str">
        <f t="shared" ref="S4:S30" si="7">IF(T4="","","ΣΦΑΛΜΑ")</f>
        <v/>
      </c>
      <c r="T4" s="191" t="str">
        <f>IF(ΠΕΡΙΦΕΡΕΙΑ!B2="Καθόλου",IF(OR(H4&lt;&gt;"",J4&lt;&gt;"",M4&lt;&gt;""),"Η περιφέρεια δεν καλύπτεται",""),CONCATENATE(IF(NOT(ISNUMBER(H4)),U4,IF(H4&gt;H18,W4,"")),IF(J4&gt;J18,X4,""),IF(NOT(ISNUMBER(M4)),AA4,IF(M4&gt;M18,AB4,""))))</f>
        <v/>
      </c>
      <c r="U4" s="280" t="s">
        <v>570</v>
      </c>
      <c r="V4" s="280" t="s">
        <v>912</v>
      </c>
      <c r="W4" s="280"/>
      <c r="X4" s="280"/>
      <c r="Y4" s="280" t="s">
        <v>915</v>
      </c>
      <c r="Z4" s="280" t="s">
        <v>574</v>
      </c>
      <c r="AA4" s="280" t="s">
        <v>916</v>
      </c>
      <c r="AB4" s="252" t="s">
        <v>917</v>
      </c>
    </row>
    <row r="5" spans="1:28" ht="409.5" x14ac:dyDescent="0.25">
      <c r="A5" s="41" t="str">
        <f t="shared" si="0"/>
        <v>B07</v>
      </c>
      <c r="B5" s="38" t="str">
        <f t="shared" si="0"/>
        <v>VODAFONE</v>
      </c>
      <c r="C5" s="38" t="str">
        <f t="shared" si="1"/>
        <v>Άμεση</v>
      </c>
      <c r="D5" s="231">
        <f>IF(S5="",IF(ΓΕΝΙΚΑ!$B$22="ΝΑΙ",14666,""),"")</f>
        <v>14666</v>
      </c>
      <c r="E5" s="222" t="str">
        <f>IF(ΓΕΝΙΚΑ!$B$22="ΝΑΙ","Π. ΑΤΤΙΚΗΣ","")</f>
        <v>Π. ΑΤΤΙΚΗΣ</v>
      </c>
      <c r="F5" s="7" t="s">
        <v>40</v>
      </c>
      <c r="G5" s="7">
        <v>50</v>
      </c>
      <c r="H5" s="306">
        <v>41.66</v>
      </c>
      <c r="I5" s="249">
        <f t="shared" si="2"/>
        <v>41.66</v>
      </c>
      <c r="J5" s="306">
        <v>79.34</v>
      </c>
      <c r="K5" s="249">
        <f t="shared" si="3"/>
        <v>79.34</v>
      </c>
      <c r="L5" s="309">
        <f t="shared" si="4"/>
        <v>121</v>
      </c>
      <c r="M5" s="147">
        <v>31</v>
      </c>
      <c r="N5" s="301">
        <f t="shared" si="5"/>
        <v>31</v>
      </c>
      <c r="O5" s="265" t="str">
        <f t="shared" ref="O5:O30" si="8">O$3</f>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5"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5" s="266">
        <f t="shared" si="6"/>
        <v>0</v>
      </c>
      <c r="S5" s="122" t="str">
        <f t="shared" si="7"/>
        <v/>
      </c>
      <c r="T5" s="191" t="str">
        <f>IF(ΠΕΡΙΦΕΡΕΙΑ!B3="Καθόλου",IF(OR(H5&lt;&gt;"",J5&lt;&gt;"",M5&lt;&gt;""),"Η περιφέρεια δεν καλύπτεται",""),CONCATENATE(IF(NOT(ISNUMBER(H5)),U5,IF(H5&gt;H19,W5,"")),IF(J5&gt;J19,X5,""),IF(NOT(ISNUMBER(M5)),AA5,IF(M5&gt;M19,AB5,""))))</f>
        <v/>
      </c>
      <c r="U5" s="280" t="s">
        <v>570</v>
      </c>
      <c r="V5" s="280" t="s">
        <v>912</v>
      </c>
      <c r="W5" s="280"/>
      <c r="X5" s="280"/>
      <c r="Y5" s="280" t="s">
        <v>915</v>
      </c>
      <c r="Z5" s="280" t="s">
        <v>574</v>
      </c>
      <c r="AA5" s="280" t="s">
        <v>916</v>
      </c>
      <c r="AB5" s="252" t="s">
        <v>917</v>
      </c>
    </row>
    <row r="6" spans="1:28" ht="409.5" x14ac:dyDescent="0.25">
      <c r="A6" s="41" t="str">
        <f t="shared" si="0"/>
        <v>B07</v>
      </c>
      <c r="B6" s="38" t="str">
        <f t="shared" si="0"/>
        <v>VODAFONE</v>
      </c>
      <c r="C6" s="38" t="str">
        <f t="shared" si="1"/>
        <v>Άμεση</v>
      </c>
      <c r="D6" s="217">
        <f>IF(S6="",IF(ΓΕΝΙΚΑ!$B$22="ΝΑΙ",14668,""),"")</f>
        <v>14668</v>
      </c>
      <c r="E6" s="221" t="str">
        <f>IF(ΓΕΝΙΚΑ!$B$22="ΝΑΙ","Π. ΒΟΡΕΙΟΥ ΑΙΓΑΙΟΥ","")</f>
        <v>Π. ΒΟΡΕΙΟΥ ΑΙΓΑΙΟΥ</v>
      </c>
      <c r="F6" s="7" t="s">
        <v>404</v>
      </c>
      <c r="G6" s="7">
        <v>50</v>
      </c>
      <c r="H6" s="306">
        <v>46.44</v>
      </c>
      <c r="I6" s="249">
        <f t="shared" si="2"/>
        <v>46.44</v>
      </c>
      <c r="J6" s="306">
        <v>75.56</v>
      </c>
      <c r="K6" s="249">
        <f t="shared" si="3"/>
        <v>75.56</v>
      </c>
      <c r="L6" s="309">
        <f t="shared" si="4"/>
        <v>122</v>
      </c>
      <c r="M6" s="147">
        <v>27</v>
      </c>
      <c r="N6" s="301">
        <f t="shared" si="5"/>
        <v>27</v>
      </c>
      <c r="O6"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6"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6" s="266">
        <f t="shared" si="6"/>
        <v>0</v>
      </c>
      <c r="S6" s="122" t="str">
        <f t="shared" si="7"/>
        <v/>
      </c>
      <c r="T6" s="191" t="str">
        <f>IF(ΠΕΡΙΦΕΡΕΙΑ!B4="Καθόλου",IF(OR(H6&lt;&gt;"",J6&lt;&gt;"",M6&lt;&gt;""),"Η περιφέρεια δεν καλύπτεται",""),CONCATENATE(IF(NOT(ISNUMBER(H6)),U6,IF(H6&gt;H20,W6,"")),IF(J6&gt;J20,X6,""),IF(NOT(ISNUMBER(M6)),AA6,IF(M6&gt;M20,AB6,""))))</f>
        <v/>
      </c>
      <c r="U6" s="280" t="s">
        <v>570</v>
      </c>
      <c r="V6" s="280" t="s">
        <v>912</v>
      </c>
      <c r="W6" s="280"/>
      <c r="X6" s="280"/>
      <c r="Y6" s="280" t="s">
        <v>915</v>
      </c>
      <c r="Z6" s="280" t="s">
        <v>574</v>
      </c>
      <c r="AA6" s="280" t="s">
        <v>916</v>
      </c>
      <c r="AB6" s="252" t="s">
        <v>917</v>
      </c>
    </row>
    <row r="7" spans="1:28" ht="409.5" x14ac:dyDescent="0.25">
      <c r="A7" s="41" t="str">
        <f t="shared" si="0"/>
        <v>B07</v>
      </c>
      <c r="B7" s="38" t="str">
        <f t="shared" si="0"/>
        <v>VODAFONE</v>
      </c>
      <c r="C7" s="38" t="str">
        <f t="shared" si="1"/>
        <v>Άμεση</v>
      </c>
      <c r="D7" s="231">
        <f>IF(S7="",IF(ΓΕΝΙΚΑ!$B$22="ΝΑΙ",14670,""),"")</f>
        <v>14670</v>
      </c>
      <c r="E7" s="222" t="str">
        <f>IF(ΓΕΝΙΚΑ!$B$22="ΝΑΙ","Π. ΔΥΤΙΚΗΣ ΕΛΛΑΔΑΣ","")</f>
        <v>Π. ΔΥΤΙΚΗΣ ΕΛΛΑΔΑΣ</v>
      </c>
      <c r="F7" s="7" t="s">
        <v>405</v>
      </c>
      <c r="G7" s="7">
        <v>50</v>
      </c>
      <c r="H7" s="306">
        <v>41.79</v>
      </c>
      <c r="I7" s="249">
        <f t="shared" si="2"/>
        <v>41.79</v>
      </c>
      <c r="J7" s="306">
        <v>80.209999999999994</v>
      </c>
      <c r="K7" s="249">
        <f t="shared" si="3"/>
        <v>80.209999999999994</v>
      </c>
      <c r="L7" s="309">
        <f t="shared" si="4"/>
        <v>122</v>
      </c>
      <c r="M7" s="147">
        <v>27</v>
      </c>
      <c r="N7" s="301">
        <f t="shared" si="5"/>
        <v>27</v>
      </c>
      <c r="O7"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7"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7" s="266">
        <f t="shared" si="6"/>
        <v>0</v>
      </c>
      <c r="S7" s="122" t="str">
        <f t="shared" si="7"/>
        <v/>
      </c>
      <c r="T7" s="191" t="str">
        <f>IF(ΠΕΡΙΦΕΡΕΙΑ!B5="Καθόλου",IF(OR(H7&lt;&gt;"",J7&lt;&gt;"",M7&lt;&gt;""),"Η περιφέρεια δεν καλύπτεται",""),CONCATENATE(IF(NOT(ISNUMBER(H7)),U7,IF(H7&gt;H21,W7,"")),IF(J7&gt;J21,X7,""),IF(NOT(ISNUMBER(M7)),AA7,IF(M7&gt;M21,AB7,""))))</f>
        <v/>
      </c>
      <c r="U7" s="280" t="s">
        <v>570</v>
      </c>
      <c r="V7" s="280" t="s">
        <v>912</v>
      </c>
      <c r="W7" s="280"/>
      <c r="X7" s="280"/>
      <c r="Y7" s="280" t="s">
        <v>915</v>
      </c>
      <c r="Z7" s="280" t="s">
        <v>574</v>
      </c>
      <c r="AA7" s="280" t="s">
        <v>916</v>
      </c>
      <c r="AB7" s="252" t="s">
        <v>917</v>
      </c>
    </row>
    <row r="8" spans="1:28" ht="409.5" x14ac:dyDescent="0.25">
      <c r="A8" s="41" t="str">
        <f t="shared" si="0"/>
        <v>B07</v>
      </c>
      <c r="B8" s="38" t="str">
        <f t="shared" si="0"/>
        <v>VODAFONE</v>
      </c>
      <c r="C8" s="38" t="str">
        <f t="shared" si="1"/>
        <v>Άμεση</v>
      </c>
      <c r="D8" s="217">
        <f>IF(S8="",IF(ΓΕΝΙΚΑ!$B$22="ΝΑΙ",14672,""),"")</f>
        <v>14672</v>
      </c>
      <c r="E8" s="221" t="str">
        <f>IF(ΓΕΝΙΚΑ!$B$22="ΝΑΙ","Π. ΔΥΤΙΚΗΣ ΜΑΚΕΔΟΝΙΑΣ","")</f>
        <v>Π. ΔΥΤΙΚΗΣ ΜΑΚΕΔΟΝΙΑΣ</v>
      </c>
      <c r="F8" s="7" t="s">
        <v>406</v>
      </c>
      <c r="G8" s="7">
        <v>50</v>
      </c>
      <c r="H8" s="306">
        <v>47.91</v>
      </c>
      <c r="I8" s="249">
        <f t="shared" si="2"/>
        <v>47.91</v>
      </c>
      <c r="J8" s="306">
        <v>74.09</v>
      </c>
      <c r="K8" s="249">
        <f t="shared" si="3"/>
        <v>74.09</v>
      </c>
      <c r="L8" s="309">
        <f t="shared" si="4"/>
        <v>122</v>
      </c>
      <c r="M8" s="147">
        <v>73</v>
      </c>
      <c r="N8" s="301">
        <f t="shared" si="5"/>
        <v>73</v>
      </c>
      <c r="O8"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8"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8" s="266">
        <f t="shared" si="6"/>
        <v>0</v>
      </c>
      <c r="S8" s="122" t="str">
        <f t="shared" si="7"/>
        <v/>
      </c>
      <c r="T8" s="191" t="str">
        <f>IF(ΠΕΡΙΦΕΡΕΙΑ!B6="Καθόλου",IF(OR(H8&lt;&gt;"",J8&lt;&gt;"",M8&lt;&gt;""),"Η περιφέρεια δεν καλύπτεται",""),CONCATENATE(IF(NOT(ISNUMBER(H8)),U8,IF(H8&gt;H22,W8,"")),IF(J8&gt;J22,X8,""),IF(NOT(ISNUMBER(M8)),AA8,IF(M8&gt;M22,AB8,""))))</f>
        <v/>
      </c>
      <c r="U8" s="280" t="s">
        <v>570</v>
      </c>
      <c r="V8" s="280" t="s">
        <v>912</v>
      </c>
      <c r="W8" s="280"/>
      <c r="X8" s="280"/>
      <c r="Y8" s="280" t="s">
        <v>915</v>
      </c>
      <c r="Z8" s="280" t="s">
        <v>574</v>
      </c>
      <c r="AA8" s="280" t="s">
        <v>916</v>
      </c>
      <c r="AB8" s="252" t="s">
        <v>917</v>
      </c>
    </row>
    <row r="9" spans="1:28" ht="409.5" x14ac:dyDescent="0.25">
      <c r="A9" s="41" t="str">
        <f t="shared" si="0"/>
        <v>B07</v>
      </c>
      <c r="B9" s="38" t="str">
        <f t="shared" si="0"/>
        <v>VODAFONE</v>
      </c>
      <c r="C9" s="38" t="str">
        <f t="shared" si="1"/>
        <v>Άμεση</v>
      </c>
      <c r="D9" s="231">
        <f>IF(S9="",IF(ΓΕΝΙΚΑ!$B$22="ΝΑΙ",14674,""),"")</f>
        <v>14674</v>
      </c>
      <c r="E9" s="222" t="str">
        <f>IF(ΓΕΝΙΚΑ!$B$22="ΝΑΙ","Π. ΗΠΕΙΡΟΥ","")</f>
        <v>Π. ΗΠΕΙΡΟΥ</v>
      </c>
      <c r="F9" s="7" t="s">
        <v>407</v>
      </c>
      <c r="G9" s="7">
        <v>50</v>
      </c>
      <c r="H9" s="306">
        <v>45.9</v>
      </c>
      <c r="I9" s="249">
        <f t="shared" si="2"/>
        <v>45.9</v>
      </c>
      <c r="J9" s="306">
        <v>78.099999999999994</v>
      </c>
      <c r="K9" s="249">
        <f t="shared" si="3"/>
        <v>78.099999999999994</v>
      </c>
      <c r="L9" s="309">
        <f t="shared" si="4"/>
        <v>124</v>
      </c>
      <c r="M9" s="147">
        <v>45</v>
      </c>
      <c r="N9" s="301">
        <f t="shared" si="5"/>
        <v>45</v>
      </c>
      <c r="O9"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9"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9" s="266">
        <f t="shared" si="6"/>
        <v>0</v>
      </c>
      <c r="S9" s="122" t="str">
        <f t="shared" si="7"/>
        <v/>
      </c>
      <c r="T9" s="191" t="str">
        <f>IF(ΠΕΡΙΦΕΡΕΙΑ!B7="Καθόλου",IF(OR(H9&lt;&gt;"",J9&lt;&gt;"",M9&lt;&gt;""),"Η περιφέρεια δεν καλύπτεται",""),CONCATENATE(IF(NOT(ISNUMBER(H9)),U9,IF(H9&gt;H23,W9,"")),IF(J9&gt;J23,X9,""),IF(NOT(ISNUMBER(M9)),AA9,IF(M9&gt;M23,AB9,""))))</f>
        <v/>
      </c>
      <c r="U9" s="280" t="s">
        <v>570</v>
      </c>
      <c r="V9" s="280" t="s">
        <v>912</v>
      </c>
      <c r="W9" s="280"/>
      <c r="X9" s="280"/>
      <c r="Y9" s="280" t="s">
        <v>915</v>
      </c>
      <c r="Z9" s="280" t="s">
        <v>574</v>
      </c>
      <c r="AA9" s="280" t="s">
        <v>916</v>
      </c>
      <c r="AB9" s="252" t="s">
        <v>917</v>
      </c>
    </row>
    <row r="10" spans="1:28" ht="409.5" x14ac:dyDescent="0.25">
      <c r="A10" s="41" t="str">
        <f t="shared" si="0"/>
        <v>B07</v>
      </c>
      <c r="B10" s="38" t="str">
        <f t="shared" si="0"/>
        <v>VODAFONE</v>
      </c>
      <c r="C10" s="38" t="str">
        <f t="shared" si="1"/>
        <v>Άμεση</v>
      </c>
      <c r="D10" s="217">
        <f>IF(S10="",IF(ΓΕΝΙΚΑ!$B$22="ΝΑΙ",14676,""),"")</f>
        <v>14676</v>
      </c>
      <c r="E10" s="221" t="str">
        <f>IF(ΓΕΝΙΚΑ!$B$22="ΝΑΙ","Π. ΘΕΣΣΑΛΙΑΣ","")</f>
        <v>Π. ΘΕΣΣΑΛΙΑΣ</v>
      </c>
      <c r="F10" s="7" t="s">
        <v>408</v>
      </c>
      <c r="G10" s="7">
        <v>50</v>
      </c>
      <c r="H10" s="306">
        <v>35.53</v>
      </c>
      <c r="I10" s="249">
        <f t="shared" si="2"/>
        <v>35.53</v>
      </c>
      <c r="J10" s="306">
        <v>64.47</v>
      </c>
      <c r="K10" s="249">
        <f t="shared" si="3"/>
        <v>64.47</v>
      </c>
      <c r="L10" s="309">
        <f t="shared" si="4"/>
        <v>100</v>
      </c>
      <c r="M10" s="147">
        <v>25</v>
      </c>
      <c r="N10" s="301">
        <f t="shared" si="5"/>
        <v>25</v>
      </c>
      <c r="O10"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10"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10" s="266">
        <f t="shared" si="6"/>
        <v>0</v>
      </c>
      <c r="S10" s="122" t="str">
        <f t="shared" si="7"/>
        <v/>
      </c>
      <c r="T10" s="191" t="str">
        <f>IF(ΠΕΡΙΦΕΡΕΙΑ!B8="Καθόλου",IF(OR(H10&lt;&gt;"",J10&lt;&gt;"",M10&lt;&gt;""),"Η περιφέρεια δεν καλύπτεται",""),CONCATENATE(IF(NOT(ISNUMBER(H10)),U10,IF(H10&gt;H24,W10,"")),IF(J10&gt;J24,X10,""),IF(NOT(ISNUMBER(M10)),AA10,IF(M10&gt;M24,AB10,""))))</f>
        <v/>
      </c>
      <c r="U10" s="280" t="s">
        <v>570</v>
      </c>
      <c r="V10" s="280" t="s">
        <v>912</v>
      </c>
      <c r="W10" s="280"/>
      <c r="X10" s="280"/>
      <c r="Y10" s="280" t="s">
        <v>915</v>
      </c>
      <c r="Z10" s="280" t="s">
        <v>574</v>
      </c>
      <c r="AA10" s="280" t="s">
        <v>916</v>
      </c>
      <c r="AB10" s="252" t="s">
        <v>917</v>
      </c>
    </row>
    <row r="11" spans="1:28" ht="409.5" x14ac:dyDescent="0.25">
      <c r="A11" s="41" t="str">
        <f t="shared" si="0"/>
        <v>B07</v>
      </c>
      <c r="B11" s="38" t="str">
        <f t="shared" si="0"/>
        <v>VODAFONE</v>
      </c>
      <c r="C11" s="38" t="str">
        <f t="shared" si="1"/>
        <v>Άμεση</v>
      </c>
      <c r="D11" s="231">
        <f>IF(S11="",IF(ΓΕΝΙΚΑ!$B$22="ΝΑΙ",14678,""),"")</f>
        <v>14678</v>
      </c>
      <c r="E11" s="222" t="str">
        <f>IF(ΓΕΝΙΚΑ!$B$22="ΝΑΙ","Π. ΙΟΝΙΩΝ ΝΗΣΩΝ","")</f>
        <v>Π. ΙΟΝΙΩΝ ΝΗΣΩΝ</v>
      </c>
      <c r="F11" s="7" t="s">
        <v>409</v>
      </c>
      <c r="G11" s="7">
        <v>50</v>
      </c>
      <c r="H11" s="306">
        <v>50.03</v>
      </c>
      <c r="I11" s="249">
        <f t="shared" si="2"/>
        <v>50.03</v>
      </c>
      <c r="J11" s="306">
        <v>93.97</v>
      </c>
      <c r="K11" s="249">
        <f t="shared" si="3"/>
        <v>93.97</v>
      </c>
      <c r="L11" s="309">
        <f t="shared" si="4"/>
        <v>144</v>
      </c>
      <c r="M11" s="147">
        <v>36</v>
      </c>
      <c r="N11" s="301">
        <f t="shared" si="5"/>
        <v>36</v>
      </c>
      <c r="O11"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11"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11" s="266">
        <f t="shared" si="6"/>
        <v>0</v>
      </c>
      <c r="S11" s="122" t="str">
        <f t="shared" si="7"/>
        <v/>
      </c>
      <c r="T11" s="191" t="str">
        <f>IF(ΠΕΡΙΦΕΡΕΙΑ!B9="Καθόλου",IF(OR(H11&lt;&gt;"",J11&lt;&gt;"",M11&lt;&gt;""),"Η περιφέρεια δεν καλύπτεται",""),CONCATENATE(IF(NOT(ISNUMBER(H11)),U11,IF(H11&gt;H25,W11,"")),IF(J11&gt;J25,X11,""),IF(NOT(ISNUMBER(M11)),AA11,IF(M11&gt;M25,AB11,""))))</f>
        <v/>
      </c>
      <c r="U11" s="280" t="s">
        <v>570</v>
      </c>
      <c r="V11" s="280" t="s">
        <v>912</v>
      </c>
      <c r="W11" s="280"/>
      <c r="X11" s="280"/>
      <c r="Y11" s="280" t="s">
        <v>915</v>
      </c>
      <c r="Z11" s="280" t="s">
        <v>574</v>
      </c>
      <c r="AA11" s="280" t="s">
        <v>916</v>
      </c>
      <c r="AB11" s="252" t="s">
        <v>917</v>
      </c>
    </row>
    <row r="12" spans="1:28" ht="409.5" x14ac:dyDescent="0.25">
      <c r="A12" s="41" t="str">
        <f t="shared" si="0"/>
        <v>B07</v>
      </c>
      <c r="B12" s="38" t="str">
        <f t="shared" si="0"/>
        <v>VODAFONE</v>
      </c>
      <c r="C12" s="38" t="str">
        <f t="shared" si="1"/>
        <v>Άμεση</v>
      </c>
      <c r="D12" s="217">
        <f>IF(S12="",IF(ΓΕΝΙΚΑ!$B$22="ΝΑΙ",14680,""),"")</f>
        <v>14680</v>
      </c>
      <c r="E12" s="221" t="str">
        <f>IF(ΓΕΝΙΚΑ!$B$22="ΝΑΙ","Π. ΚΕΝΤΡΙΚΗΣ ΜΑΚΕΔΟΝΙΑΣ","")</f>
        <v>Π. ΚΕΝΤΡΙΚΗΣ ΜΑΚΕΔΟΝΙΑΣ</v>
      </c>
      <c r="F12" s="7" t="s">
        <v>410</v>
      </c>
      <c r="G12" s="7">
        <v>50</v>
      </c>
      <c r="H12" s="306">
        <v>42.27</v>
      </c>
      <c r="I12" s="249">
        <f t="shared" si="2"/>
        <v>42.27</v>
      </c>
      <c r="J12" s="306">
        <v>76.73</v>
      </c>
      <c r="K12" s="249">
        <f t="shared" si="3"/>
        <v>76.73</v>
      </c>
      <c r="L12" s="309">
        <f t="shared" si="4"/>
        <v>119</v>
      </c>
      <c r="M12" s="147">
        <v>28</v>
      </c>
      <c r="N12" s="301">
        <f t="shared" si="5"/>
        <v>28</v>
      </c>
      <c r="O12"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12"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12" s="266">
        <f t="shared" si="6"/>
        <v>0</v>
      </c>
      <c r="S12" s="122" t="str">
        <f t="shared" si="7"/>
        <v/>
      </c>
      <c r="T12" s="191" t="str">
        <f>IF(ΠΕΡΙΦΕΡΕΙΑ!B10="Καθόλου",IF(OR(H12&lt;&gt;"",J12&lt;&gt;"",M12&lt;&gt;""),"Η περιφέρεια δεν καλύπτεται",""),CONCATENATE(IF(NOT(ISNUMBER(H12)),U12,IF(H12&gt;H26,W12,"")),IF(J12&gt;J26,X12,""),IF(NOT(ISNUMBER(M12)),AA12,IF(M12&gt;M26,AB12,""))))</f>
        <v/>
      </c>
      <c r="U12" s="280" t="s">
        <v>570</v>
      </c>
      <c r="V12" s="280" t="s">
        <v>912</v>
      </c>
      <c r="W12" s="280"/>
      <c r="X12" s="280"/>
      <c r="Y12" s="280" t="s">
        <v>915</v>
      </c>
      <c r="Z12" s="280" t="s">
        <v>574</v>
      </c>
      <c r="AA12" s="280" t="s">
        <v>916</v>
      </c>
      <c r="AB12" s="252" t="s">
        <v>917</v>
      </c>
    </row>
    <row r="13" spans="1:28" ht="409.5" x14ac:dyDescent="0.25">
      <c r="A13" s="41" t="str">
        <f t="shared" si="0"/>
        <v>B07</v>
      </c>
      <c r="B13" s="38" t="str">
        <f t="shared" si="0"/>
        <v>VODAFONE</v>
      </c>
      <c r="C13" s="38" t="str">
        <f t="shared" si="1"/>
        <v>Άμεση</v>
      </c>
      <c r="D13" s="231">
        <f>IF(S13="",IF(ΓΕΝΙΚΑ!$B$22="ΝΑΙ",14682,""),"")</f>
        <v>14682</v>
      </c>
      <c r="E13" s="222" t="str">
        <f>IF(ΓΕΝΙΚΑ!$B$22="ΝΑΙ","Π. ΚΡΗΤΗΣ","")</f>
        <v>Π. ΚΡΗΤΗΣ</v>
      </c>
      <c r="F13" s="7" t="s">
        <v>411</v>
      </c>
      <c r="G13" s="7">
        <v>50</v>
      </c>
      <c r="H13" s="306">
        <v>46.54</v>
      </c>
      <c r="I13" s="249">
        <f t="shared" si="2"/>
        <v>46.54</v>
      </c>
      <c r="J13" s="306">
        <v>71.459999999999994</v>
      </c>
      <c r="K13" s="249">
        <f t="shared" si="3"/>
        <v>71.459999999999994</v>
      </c>
      <c r="L13" s="309">
        <f t="shared" si="4"/>
        <v>118</v>
      </c>
      <c r="M13" s="147">
        <v>24</v>
      </c>
      <c r="N13" s="301">
        <f t="shared" si="5"/>
        <v>24</v>
      </c>
      <c r="O13"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13"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13" s="266">
        <f t="shared" si="6"/>
        <v>0</v>
      </c>
      <c r="S13" s="122" t="str">
        <f t="shared" si="7"/>
        <v/>
      </c>
      <c r="T13" s="191" t="str">
        <f>IF(ΠΕΡΙΦΕΡΕΙΑ!B11="Καθόλου",IF(OR(H13&lt;&gt;"",J13&lt;&gt;"",M13&lt;&gt;""),"Η περιφέρεια δεν καλύπτεται",""),CONCATENATE(IF(NOT(ISNUMBER(H13)),U13,IF(H13&gt;H27,W13,"")),IF(J13&gt;J27,X13,""),IF(NOT(ISNUMBER(M13)),AA13,IF(M13&gt;M27,AB13,""))))</f>
        <v/>
      </c>
      <c r="U13" s="280" t="s">
        <v>570</v>
      </c>
      <c r="V13" s="280" t="s">
        <v>912</v>
      </c>
      <c r="W13" s="280"/>
      <c r="X13" s="280"/>
      <c r="Y13" s="280" t="s">
        <v>915</v>
      </c>
      <c r="Z13" s="280" t="s">
        <v>574</v>
      </c>
      <c r="AA13" s="280" t="s">
        <v>916</v>
      </c>
      <c r="AB13" s="252" t="s">
        <v>917</v>
      </c>
    </row>
    <row r="14" spans="1:28" ht="409.5" x14ac:dyDescent="0.25">
      <c r="A14" s="41" t="str">
        <f t="shared" si="0"/>
        <v>B07</v>
      </c>
      <c r="B14" s="38" t="str">
        <f t="shared" si="0"/>
        <v>VODAFONE</v>
      </c>
      <c r="C14" s="38" t="str">
        <f t="shared" si="1"/>
        <v>Άμεση</v>
      </c>
      <c r="D14" s="217">
        <f>IF(S14="",IF(ΓΕΝΙΚΑ!$B$22="ΝΑΙ",14684,""),"")</f>
        <v>14684</v>
      </c>
      <c r="E14" s="221" t="str">
        <f>IF(ΓΕΝΙΚΑ!$B$22="ΝΑΙ","Π. ΝΟΤΙΟΥ ΑΙΓΑΙΟΥ","")</f>
        <v>Π. ΝΟΤΙΟΥ ΑΙΓΑΙΟΥ</v>
      </c>
      <c r="F14" s="7" t="s">
        <v>412</v>
      </c>
      <c r="G14" s="7">
        <v>50</v>
      </c>
      <c r="H14" s="306">
        <v>44.54</v>
      </c>
      <c r="I14" s="249">
        <f t="shared" si="2"/>
        <v>44.54</v>
      </c>
      <c r="J14" s="306">
        <v>74.459999999999994</v>
      </c>
      <c r="K14" s="249">
        <f t="shared" si="3"/>
        <v>74.459999999999994</v>
      </c>
      <c r="L14" s="309">
        <f t="shared" si="4"/>
        <v>119</v>
      </c>
      <c r="M14" s="147">
        <v>21</v>
      </c>
      <c r="N14" s="301">
        <f t="shared" si="5"/>
        <v>21</v>
      </c>
      <c r="O14"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14"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14" s="266">
        <f t="shared" si="6"/>
        <v>0</v>
      </c>
      <c r="S14" s="122" t="str">
        <f t="shared" si="7"/>
        <v/>
      </c>
      <c r="T14" s="191" t="str">
        <f>IF(ΠΕΡΙΦΕΡΕΙΑ!B12="Καθόλου",IF(OR(H14&lt;&gt;"",J14&lt;&gt;"",M14&lt;&gt;""),"Η περιφέρεια δεν καλύπτεται",""),CONCATENATE(IF(NOT(ISNUMBER(H14)),U14,IF(H14&gt;H28,W14,"")),IF(J14&gt;J28,X14,""),IF(NOT(ISNUMBER(M14)),AA14,IF(M14&gt;M28,AB14,""))))</f>
        <v/>
      </c>
      <c r="U14" s="280" t="s">
        <v>570</v>
      </c>
      <c r="V14" s="280" t="s">
        <v>912</v>
      </c>
      <c r="W14" s="280"/>
      <c r="X14" s="280"/>
      <c r="Y14" s="280" t="s">
        <v>915</v>
      </c>
      <c r="Z14" s="280" t="s">
        <v>574</v>
      </c>
      <c r="AA14" s="280" t="s">
        <v>916</v>
      </c>
      <c r="AB14" s="252" t="s">
        <v>917</v>
      </c>
    </row>
    <row r="15" spans="1:28" ht="409.5" x14ac:dyDescent="0.25">
      <c r="A15" s="41" t="str">
        <f t="shared" si="0"/>
        <v>B07</v>
      </c>
      <c r="B15" s="38" t="str">
        <f t="shared" si="0"/>
        <v>VODAFONE</v>
      </c>
      <c r="C15" s="38" t="str">
        <f t="shared" si="1"/>
        <v>Άμεση</v>
      </c>
      <c r="D15" s="231">
        <f>IF(S15="",IF(ΓΕΝΙΚΑ!$B$22="ΝΑΙ",14686,""),"")</f>
        <v>14686</v>
      </c>
      <c r="E15" s="222" t="str">
        <f>IF(ΓΕΝΙΚΑ!$B$22="ΝΑΙ","Π. ΠΕΛΟΠΟΝΝΗΣΟΥ","")</f>
        <v>Π. ΠΕΛΟΠΟΝΝΗΣΟΥ</v>
      </c>
      <c r="F15" s="7" t="s">
        <v>413</v>
      </c>
      <c r="G15" s="7">
        <v>50</v>
      </c>
      <c r="H15" s="306">
        <v>42.12</v>
      </c>
      <c r="I15" s="249">
        <f t="shared" si="2"/>
        <v>42.12</v>
      </c>
      <c r="J15" s="306">
        <v>74.88</v>
      </c>
      <c r="K15" s="249">
        <f t="shared" si="3"/>
        <v>74.88</v>
      </c>
      <c r="L15" s="309">
        <f t="shared" si="4"/>
        <v>117</v>
      </c>
      <c r="M15" s="147">
        <v>26</v>
      </c>
      <c r="N15" s="301">
        <f t="shared" si="5"/>
        <v>26</v>
      </c>
      <c r="O15"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15"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15" s="266">
        <f t="shared" si="6"/>
        <v>0</v>
      </c>
      <c r="S15" s="122" t="str">
        <f t="shared" si="7"/>
        <v/>
      </c>
      <c r="T15" s="191" t="str">
        <f>IF(ΠΕΡΙΦΕΡΕΙΑ!B13="Καθόλου",IF(OR(H15&lt;&gt;"",J15&lt;&gt;"",M15&lt;&gt;""),"Η περιφέρεια δεν καλύπτεται",""),CONCATENATE(IF(NOT(ISNUMBER(H15)),U15,IF(H15&gt;H29,W15,"")),IF(J15&gt;J29,X15,""),IF(NOT(ISNUMBER(M15)),AA15,IF(M15&gt;M29,AB15,""))))</f>
        <v/>
      </c>
      <c r="U15" s="280" t="s">
        <v>570</v>
      </c>
      <c r="V15" s="280" t="s">
        <v>912</v>
      </c>
      <c r="W15" s="280"/>
      <c r="X15" s="280"/>
      <c r="Y15" s="280" t="s">
        <v>915</v>
      </c>
      <c r="Z15" s="280" t="s">
        <v>574</v>
      </c>
      <c r="AA15" s="280" t="s">
        <v>916</v>
      </c>
      <c r="AB15" s="252" t="s">
        <v>917</v>
      </c>
    </row>
    <row r="16" spans="1:28" ht="409.6" thickBot="1" x14ac:dyDescent="0.3">
      <c r="A16" s="41" t="str">
        <f t="shared" si="0"/>
        <v>B07</v>
      </c>
      <c r="B16" s="38" t="str">
        <f t="shared" si="0"/>
        <v>VODAFONE</v>
      </c>
      <c r="C16" s="38" t="str">
        <f t="shared" si="1"/>
        <v>Άμεση</v>
      </c>
      <c r="D16" s="218">
        <f>IF(S16="",IF(ΓΕΝΙΚΑ!$B$22="ΝΑΙ",14688,""),"")</f>
        <v>14688</v>
      </c>
      <c r="E16" s="223" t="str">
        <f>IF(ΓΕΝΙΚΑ!$B$22="ΝΑΙ","Π. ΣΤΕΡΕΑΣ ΕΛΛΑΔΑΣ","")</f>
        <v>Π. ΣΤΕΡΕΑΣ ΕΛΛΑΔΑΣ</v>
      </c>
      <c r="F16" s="6" t="s">
        <v>414</v>
      </c>
      <c r="G16" s="6">
        <v>50</v>
      </c>
      <c r="H16" s="307">
        <v>40.19</v>
      </c>
      <c r="I16" s="249">
        <f t="shared" si="2"/>
        <v>40.19</v>
      </c>
      <c r="J16" s="307">
        <v>71.81</v>
      </c>
      <c r="K16" s="249">
        <f t="shared" si="3"/>
        <v>71.81</v>
      </c>
      <c r="L16" s="310">
        <f t="shared" si="4"/>
        <v>112</v>
      </c>
      <c r="M16" s="148">
        <v>26</v>
      </c>
      <c r="N16" s="301">
        <f t="shared" si="5"/>
        <v>26</v>
      </c>
      <c r="O16"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16"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16" s="266">
        <f t="shared" si="6"/>
        <v>0</v>
      </c>
      <c r="S16" s="122" t="str">
        <f t="shared" si="7"/>
        <v/>
      </c>
      <c r="T16" s="191" t="str">
        <f>IF(ΠΕΡΙΦΕΡΕΙΑ!B14="Καθόλου",IF(OR(H16&lt;&gt;"",J16&lt;&gt;"",M16&lt;&gt;""),"Η περιφέρεια δεν καλύπτεται",""),CONCATENATE(IF(NOT(ISNUMBER(H16)),U16,IF(H16&gt;H30,W16,"")),IF(J16&gt;J30,X16,""),IF(NOT(ISNUMBER(M16)),AA16,IF(M16&gt;M30,AB16,""))))</f>
        <v/>
      </c>
      <c r="U16" s="280" t="s">
        <v>570</v>
      </c>
      <c r="V16" s="280" t="s">
        <v>912</v>
      </c>
      <c r="W16" s="280"/>
      <c r="X16" s="280"/>
      <c r="Y16" s="280" t="s">
        <v>915</v>
      </c>
      <c r="Z16" s="280" t="s">
        <v>574</v>
      </c>
      <c r="AA16" s="280" t="s">
        <v>916</v>
      </c>
      <c r="AB16" s="252" t="s">
        <v>917</v>
      </c>
    </row>
    <row r="17" spans="1:28" ht="409.5" x14ac:dyDescent="0.25">
      <c r="A17" s="41" t="str">
        <f t="shared" si="0"/>
        <v>B07</v>
      </c>
      <c r="B17" s="38" t="str">
        <f t="shared" si="0"/>
        <v>VODAFONE</v>
      </c>
      <c r="C17" s="38" t="str">
        <f t="shared" si="1"/>
        <v>Άμεση</v>
      </c>
      <c r="D17" s="230">
        <f>IF(S17="",IF(ΓΕΝΙΚΑ!$B$22="ΝΑΙ",15300,""),"")</f>
        <v>15300</v>
      </c>
      <c r="E17" s="220" t="str">
        <f>IF(ΓΕΝΙΚΑ!$B$22="ΝΑΙ","ΠΑΝΕΛΛΑΔΙΚΑ","")</f>
        <v>ΠΑΝΕΛΛΑΔΙΚΑ</v>
      </c>
      <c r="F17" s="8" t="s">
        <v>552</v>
      </c>
      <c r="G17" s="5">
        <v>95</v>
      </c>
      <c r="H17" s="305">
        <v>195.09</v>
      </c>
      <c r="I17" s="249"/>
      <c r="J17" s="305">
        <v>235.3</v>
      </c>
      <c r="K17" s="249">
        <f t="shared" si="3"/>
        <v>235.3</v>
      </c>
      <c r="L17" s="311">
        <f t="shared" si="4"/>
        <v>430</v>
      </c>
      <c r="M17" s="149">
        <v>108</v>
      </c>
      <c r="N17" s="301">
        <f t="shared" si="5"/>
        <v>108</v>
      </c>
      <c r="O17"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17"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17" s="266">
        <f t="shared" si="6"/>
        <v>0</v>
      </c>
      <c r="S17" s="122" t="str">
        <f t="shared" si="7"/>
        <v/>
      </c>
      <c r="T17" s="191" t="str">
        <f>IF(L17="",U3,"")</f>
        <v/>
      </c>
      <c r="Y17" s="190"/>
      <c r="AA17" s="252"/>
      <c r="AB17" s="252"/>
    </row>
    <row r="18" spans="1:28" ht="409.5" x14ac:dyDescent="0.25">
      <c r="A18" s="41" t="str">
        <f t="shared" si="0"/>
        <v>B07</v>
      </c>
      <c r="B18" s="38" t="str">
        <f t="shared" si="0"/>
        <v>VODAFONE</v>
      </c>
      <c r="C18" s="38" t="str">
        <f t="shared" si="1"/>
        <v>Άμεση</v>
      </c>
      <c r="D18" s="217">
        <f>IF(S18="",IF(ΓΕΝΙΚΑ!$B$22="ΝΑΙ",14664,""),"")</f>
        <v>14664</v>
      </c>
      <c r="E18" s="221" t="str">
        <f>IF(ΓΕΝΙΚΑ!$B$22="ΝΑΙ","Π. ΑΝΑΤΟΛΙΚΗΣ ΜΑΚΕΔΟΝΙΑΣ - ΘΡΑΚΗΣ","")</f>
        <v>Π. ΑΝΑΤΟΛΙΚΗΣ ΜΑΚΕΔΟΝΙΑΣ - ΘΡΑΚΗΣ</v>
      </c>
      <c r="F18" s="7" t="s">
        <v>39</v>
      </c>
      <c r="G18" s="7">
        <v>95</v>
      </c>
      <c r="H18" s="306">
        <v>175.91</v>
      </c>
      <c r="I18" s="249">
        <f t="shared" si="2"/>
        <v>175.91</v>
      </c>
      <c r="J18" s="306">
        <v>190.09</v>
      </c>
      <c r="K18" s="249">
        <f t="shared" si="3"/>
        <v>190.09</v>
      </c>
      <c r="L18" s="309">
        <f t="shared" si="4"/>
        <v>366</v>
      </c>
      <c r="M18" s="147">
        <v>121</v>
      </c>
      <c r="N18" s="301">
        <f t="shared" si="5"/>
        <v>121</v>
      </c>
      <c r="O18"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18"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18" s="266">
        <f t="shared" si="6"/>
        <v>0</v>
      </c>
      <c r="S18" s="122" t="str">
        <f t="shared" si="7"/>
        <v/>
      </c>
      <c r="T18" s="191" t="str">
        <f>IF(AND(L18="",ΠΕΡΙΦΕΡΕΙΑ!B2&lt;&gt;"Καθόλου"),U4,IF(AND(ΠΕΡΙΦΕΡΕΙΑ!B2="Καθόλου",OR(H18&lt;&gt;"",J18&lt;&gt;"")),"Η περιφέρεια δεν καλύπτεται",""))</f>
        <v/>
      </c>
      <c r="Y18" s="190"/>
      <c r="AA18" s="252"/>
      <c r="AB18" s="252"/>
    </row>
    <row r="19" spans="1:28" ht="409.5" x14ac:dyDescent="0.25">
      <c r="A19" s="41" t="str">
        <f t="shared" si="0"/>
        <v>B07</v>
      </c>
      <c r="B19" s="38" t="str">
        <f t="shared" si="0"/>
        <v>VODAFONE</v>
      </c>
      <c r="C19" s="38" t="str">
        <f t="shared" si="1"/>
        <v>Άμεση</v>
      </c>
      <c r="D19" s="231">
        <f>IF(S19="",IF(ΓΕΝΙΚΑ!$B$22="ΝΑΙ",14666,""),"")</f>
        <v>14666</v>
      </c>
      <c r="E19" s="222" t="str">
        <f>IF(ΓΕΝΙΚΑ!$B$22="ΝΑΙ","Π. ΑΤΤΙΚΗΣ","")</f>
        <v>Π. ΑΤΤΙΚΗΣ</v>
      </c>
      <c r="F19" s="7" t="s">
        <v>40</v>
      </c>
      <c r="G19" s="7">
        <v>95</v>
      </c>
      <c r="H19" s="306">
        <v>187.22</v>
      </c>
      <c r="I19" s="249">
        <f t="shared" si="2"/>
        <v>187.22</v>
      </c>
      <c r="J19" s="306">
        <v>246.78</v>
      </c>
      <c r="K19" s="249">
        <f t="shared" si="3"/>
        <v>246.78</v>
      </c>
      <c r="L19" s="309">
        <f t="shared" si="4"/>
        <v>434</v>
      </c>
      <c r="M19" s="147">
        <v>120</v>
      </c>
      <c r="N19" s="301">
        <f t="shared" si="5"/>
        <v>120</v>
      </c>
      <c r="O19"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19"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19" s="266">
        <f t="shared" si="6"/>
        <v>0</v>
      </c>
      <c r="S19" s="122" t="str">
        <f t="shared" si="7"/>
        <v/>
      </c>
      <c r="T19" s="191" t="str">
        <f>IF(AND(L19="",ΠΕΡΙΦΕΡΕΙΑ!B3&lt;&gt;"Καθόλου"),U5,IF(AND(ΠΕΡΙΦΕΡΕΙΑ!B3="Καθόλου",OR(H19&lt;&gt;"",J19&lt;&gt;"")),"Η περιφέρεια δεν καλύπτεται",""))</f>
        <v/>
      </c>
      <c r="Y19" s="190"/>
      <c r="AA19" s="252"/>
      <c r="AB19" s="252"/>
    </row>
    <row r="20" spans="1:28" ht="409.5" x14ac:dyDescent="0.25">
      <c r="A20" s="41" t="str">
        <f t="shared" si="0"/>
        <v>B07</v>
      </c>
      <c r="B20" s="38" t="str">
        <f t="shared" si="0"/>
        <v>VODAFONE</v>
      </c>
      <c r="C20" s="38" t="str">
        <f t="shared" si="1"/>
        <v>Άμεση</v>
      </c>
      <c r="D20" s="217">
        <f>IF(S20="",IF(ΓΕΝΙΚΑ!$B$22="ΝΑΙ",14668,""),"")</f>
        <v>14668</v>
      </c>
      <c r="E20" s="221" t="str">
        <f>IF(ΓΕΝΙΚΑ!$B$22="ΝΑΙ","Π. ΒΟΡΕΙΟΥ ΑΙΓΑΙΟΥ","")</f>
        <v>Π. ΒΟΡΕΙΟΥ ΑΙΓΑΙΟΥ</v>
      </c>
      <c r="F20" s="7" t="s">
        <v>404</v>
      </c>
      <c r="G20" s="7">
        <v>95</v>
      </c>
      <c r="H20" s="306">
        <v>148.12</v>
      </c>
      <c r="I20" s="249">
        <f t="shared" si="2"/>
        <v>148.12</v>
      </c>
      <c r="J20" s="306">
        <v>287.88</v>
      </c>
      <c r="K20" s="249">
        <f t="shared" si="3"/>
        <v>287.88</v>
      </c>
      <c r="L20" s="309">
        <f t="shared" si="4"/>
        <v>436</v>
      </c>
      <c r="M20" s="147">
        <v>96</v>
      </c>
      <c r="N20" s="301">
        <f t="shared" si="5"/>
        <v>96</v>
      </c>
      <c r="O20"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20"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20" s="266">
        <f t="shared" si="6"/>
        <v>0</v>
      </c>
      <c r="S20" s="122" t="str">
        <f t="shared" si="7"/>
        <v/>
      </c>
      <c r="T20" s="191" t="str">
        <f>IF(AND(L20="",ΠΕΡΙΦΕΡΕΙΑ!B4&lt;&gt;"Καθόλου"),U6,IF(AND(ΠΕΡΙΦΕΡΕΙΑ!B4="Καθόλου",OR(H20&lt;&gt;"",J20&lt;&gt;"")),"Η περιφέρεια δεν καλύπτεται",""))</f>
        <v/>
      </c>
      <c r="Y20" s="190"/>
    </row>
    <row r="21" spans="1:28" ht="409.5" x14ac:dyDescent="0.25">
      <c r="A21" s="41" t="str">
        <f t="shared" si="0"/>
        <v>B07</v>
      </c>
      <c r="B21" s="38" t="str">
        <f t="shared" si="0"/>
        <v>VODAFONE</v>
      </c>
      <c r="C21" s="38" t="str">
        <f t="shared" si="1"/>
        <v>Άμεση</v>
      </c>
      <c r="D21" s="231">
        <f>IF(S21="",IF(ΓΕΝΙΚΑ!$B$22="ΝΑΙ",14670,""),"")</f>
        <v>14670</v>
      </c>
      <c r="E21" s="222" t="str">
        <f>IF(ΓΕΝΙΚΑ!$B$22="ΝΑΙ","Π. ΔΥΤΙΚΗΣ ΕΛΛΑΔΑΣ","")</f>
        <v>Π. ΔΥΤΙΚΗΣ ΕΛΛΑΔΑΣ</v>
      </c>
      <c r="F21" s="7" t="s">
        <v>405</v>
      </c>
      <c r="G21" s="7">
        <v>95</v>
      </c>
      <c r="H21" s="306">
        <v>216.03</v>
      </c>
      <c r="I21" s="249">
        <f t="shared" si="2"/>
        <v>216.03</v>
      </c>
      <c r="J21" s="306">
        <v>263.97000000000003</v>
      </c>
      <c r="K21" s="249">
        <f t="shared" si="3"/>
        <v>263.97000000000003</v>
      </c>
      <c r="L21" s="309">
        <f t="shared" si="4"/>
        <v>480</v>
      </c>
      <c r="M21" s="147">
        <v>118</v>
      </c>
      <c r="N21" s="301">
        <f t="shared" si="5"/>
        <v>118</v>
      </c>
      <c r="O21"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21"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21" s="266">
        <f t="shared" si="6"/>
        <v>0</v>
      </c>
      <c r="S21" s="122" t="str">
        <f t="shared" si="7"/>
        <v/>
      </c>
      <c r="T21" s="191" t="str">
        <f>IF(AND(L21="",ΠΕΡΙΦΕΡΕΙΑ!B5&lt;&gt;"Καθόλου"),U7,IF(AND(ΠΕΡΙΦΕΡΕΙΑ!B5="Καθόλου",OR(H21&lt;&gt;"",J21&lt;&gt;"")),"Η περιφέρεια δεν καλύπτεται",""))</f>
        <v/>
      </c>
      <c r="Y21" s="190"/>
    </row>
    <row r="22" spans="1:28" ht="409.5" x14ac:dyDescent="0.25">
      <c r="A22" s="41" t="str">
        <f t="shared" si="0"/>
        <v>B07</v>
      </c>
      <c r="B22" s="38" t="str">
        <f t="shared" si="0"/>
        <v>VODAFONE</v>
      </c>
      <c r="C22" s="38" t="str">
        <f t="shared" si="1"/>
        <v>Άμεση</v>
      </c>
      <c r="D22" s="217">
        <f>IF(S22="",IF(ΓΕΝΙΚΑ!$B$22="ΝΑΙ",14672,""),"")</f>
        <v>14672</v>
      </c>
      <c r="E22" s="221" t="str">
        <f>IF(ΓΕΝΙΚΑ!$B$22="ΝΑΙ","Π. ΔΥΤΙΚΗΣ ΜΑΚΕΔΟΝΙΑΣ","")</f>
        <v>Π. ΔΥΤΙΚΗΣ ΜΑΚΕΔΟΝΙΑΣ</v>
      </c>
      <c r="F22" s="7" t="s">
        <v>406</v>
      </c>
      <c r="G22" s="7">
        <v>95</v>
      </c>
      <c r="H22" s="306">
        <v>181.2</v>
      </c>
      <c r="I22" s="249">
        <f t="shared" si="2"/>
        <v>181.2</v>
      </c>
      <c r="J22" s="306">
        <v>173.8</v>
      </c>
      <c r="K22" s="249">
        <f t="shared" si="3"/>
        <v>173.8</v>
      </c>
      <c r="L22" s="309">
        <f t="shared" si="4"/>
        <v>355</v>
      </c>
      <c r="M22" s="147">
        <v>122</v>
      </c>
      <c r="N22" s="301">
        <f t="shared" si="5"/>
        <v>122</v>
      </c>
      <c r="O22"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22"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22" s="266">
        <f t="shared" si="6"/>
        <v>0</v>
      </c>
      <c r="S22" s="122" t="str">
        <f t="shared" si="7"/>
        <v/>
      </c>
      <c r="T22" s="191" t="str">
        <f>IF(AND(L22="",ΠΕΡΙΦΕΡΕΙΑ!B6&lt;&gt;"Καθόλου"),U8,IF(AND(ΠΕΡΙΦΕΡΕΙΑ!B6="Καθόλου",OR(H22&lt;&gt;"",J22&lt;&gt;"")),"Η περιφέρεια δεν καλύπτεται",""))</f>
        <v/>
      </c>
      <c r="Y22" s="190"/>
    </row>
    <row r="23" spans="1:28" ht="409.5" x14ac:dyDescent="0.25">
      <c r="A23" s="41" t="str">
        <f t="shared" si="0"/>
        <v>B07</v>
      </c>
      <c r="B23" s="38" t="str">
        <f t="shared" si="0"/>
        <v>VODAFONE</v>
      </c>
      <c r="C23" s="38" t="str">
        <f t="shared" si="1"/>
        <v>Άμεση</v>
      </c>
      <c r="D23" s="231">
        <f>IF(S23="",IF(ΓΕΝΙΚΑ!$B$22="ΝΑΙ",14674,""),"")</f>
        <v>14674</v>
      </c>
      <c r="E23" s="222" t="str">
        <f>IF(ΓΕΝΙΚΑ!$B$22="ΝΑΙ","Π. ΗΠΕΙΡΟΥ","")</f>
        <v>Π. ΗΠΕΙΡΟΥ</v>
      </c>
      <c r="F23" s="7" t="s">
        <v>407</v>
      </c>
      <c r="G23" s="7">
        <v>95</v>
      </c>
      <c r="H23" s="306">
        <v>255.46</v>
      </c>
      <c r="I23" s="249">
        <f t="shared" si="2"/>
        <v>255.46</v>
      </c>
      <c r="J23" s="306">
        <v>286.54000000000002</v>
      </c>
      <c r="K23" s="249">
        <f t="shared" si="3"/>
        <v>286.54000000000002</v>
      </c>
      <c r="L23" s="309">
        <f t="shared" si="4"/>
        <v>542</v>
      </c>
      <c r="M23" s="147">
        <v>76</v>
      </c>
      <c r="N23" s="301">
        <f t="shared" si="5"/>
        <v>76</v>
      </c>
      <c r="O23"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23"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23" s="266">
        <f t="shared" si="6"/>
        <v>0</v>
      </c>
      <c r="S23" s="122" t="str">
        <f t="shared" si="7"/>
        <v/>
      </c>
      <c r="T23" s="191" t="str">
        <f>IF(AND(L23="",ΠΕΡΙΦΕΡΕΙΑ!B7&lt;&gt;"Καθόλου"),U9,IF(AND(ΠΕΡΙΦΕΡΕΙΑ!B7="Καθόλου",OR(H23&lt;&gt;"",J23&lt;&gt;"")),"Η περιφέρεια δεν καλύπτεται",""))</f>
        <v/>
      </c>
      <c r="Y23" s="190"/>
    </row>
    <row r="24" spans="1:28" ht="409.5" x14ac:dyDescent="0.25">
      <c r="A24" s="41" t="str">
        <f t="shared" si="0"/>
        <v>B07</v>
      </c>
      <c r="B24" s="38" t="str">
        <f t="shared" si="0"/>
        <v>VODAFONE</v>
      </c>
      <c r="C24" s="38" t="str">
        <f t="shared" si="1"/>
        <v>Άμεση</v>
      </c>
      <c r="D24" s="217">
        <f>IF(S24="",IF(ΓΕΝΙΚΑ!$B$22="ΝΑΙ",14676,""),"")</f>
        <v>14676</v>
      </c>
      <c r="E24" s="221" t="str">
        <f>IF(ΓΕΝΙΚΑ!$B$22="ΝΑΙ","Π. ΘΕΣΣΑΛΙΑΣ","")</f>
        <v>Π. ΘΕΣΣΑΛΙΑΣ</v>
      </c>
      <c r="F24" s="7" t="s">
        <v>408</v>
      </c>
      <c r="G24" s="7">
        <v>95</v>
      </c>
      <c r="H24" s="306">
        <v>162.24</v>
      </c>
      <c r="I24" s="249">
        <f t="shared" si="2"/>
        <v>162.24</v>
      </c>
      <c r="J24" s="306">
        <v>197.76</v>
      </c>
      <c r="K24" s="249">
        <f t="shared" si="3"/>
        <v>197.76</v>
      </c>
      <c r="L24" s="309">
        <f t="shared" si="4"/>
        <v>360</v>
      </c>
      <c r="M24" s="147">
        <v>96</v>
      </c>
      <c r="N24" s="301">
        <f t="shared" si="5"/>
        <v>96</v>
      </c>
      <c r="O24"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24"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24" s="266">
        <f t="shared" si="6"/>
        <v>0</v>
      </c>
      <c r="S24" s="122" t="str">
        <f t="shared" si="7"/>
        <v/>
      </c>
      <c r="T24" s="191" t="str">
        <f>IF(AND(L24="",ΠΕΡΙΦΕΡΕΙΑ!B8&lt;&gt;"Καθόλου"),U10,IF(AND(ΠΕΡΙΦΕΡΕΙΑ!B8="Καθόλου",OR(H24&lt;&gt;"",J24&lt;&gt;"")),"Η περιφέρεια δεν καλύπτεται",""))</f>
        <v/>
      </c>
      <c r="Y24" s="190"/>
    </row>
    <row r="25" spans="1:28" ht="409.5" x14ac:dyDescent="0.25">
      <c r="A25" s="41" t="str">
        <f t="shared" si="0"/>
        <v>B07</v>
      </c>
      <c r="B25" s="38" t="str">
        <f t="shared" si="0"/>
        <v>VODAFONE</v>
      </c>
      <c r="C25" s="38" t="str">
        <f t="shared" si="1"/>
        <v>Άμεση</v>
      </c>
      <c r="D25" s="231">
        <f>IF(S25="",IF(ΓΕΝΙΚΑ!$B$22="ΝΑΙ",14678,""),"")</f>
        <v>14678</v>
      </c>
      <c r="E25" s="222" t="str">
        <f>IF(ΓΕΝΙΚΑ!$B$22="ΝΑΙ","Π. ΙΟΝΙΩΝ ΝΗΣΩΝ","")</f>
        <v>Π. ΙΟΝΙΩΝ ΝΗΣΩΝ</v>
      </c>
      <c r="F25" s="7" t="s">
        <v>409</v>
      </c>
      <c r="G25" s="7">
        <v>95</v>
      </c>
      <c r="H25" s="306">
        <v>214.49</v>
      </c>
      <c r="I25" s="249">
        <f t="shared" si="2"/>
        <v>214.49</v>
      </c>
      <c r="J25" s="306">
        <v>239.51</v>
      </c>
      <c r="K25" s="249">
        <f t="shared" si="3"/>
        <v>239.51</v>
      </c>
      <c r="L25" s="309">
        <f t="shared" si="4"/>
        <v>454</v>
      </c>
      <c r="M25" s="147">
        <v>120</v>
      </c>
      <c r="N25" s="301">
        <f t="shared" si="5"/>
        <v>120</v>
      </c>
      <c r="O25"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25"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25" s="266">
        <f t="shared" si="6"/>
        <v>0</v>
      </c>
      <c r="S25" s="122" t="str">
        <f t="shared" si="7"/>
        <v/>
      </c>
      <c r="T25" s="191" t="str">
        <f>IF(AND(L25="",ΠΕΡΙΦΕΡΕΙΑ!B9&lt;&gt;"Καθόλου"),U11,IF(AND(ΠΕΡΙΦΕΡΕΙΑ!B9="Καθόλου",OR(H25&lt;&gt;"",J25&lt;&gt;"")),"Η περιφέρεια δεν καλύπτεται",""))</f>
        <v/>
      </c>
      <c r="Y25" s="190"/>
    </row>
    <row r="26" spans="1:28" ht="409.5" x14ac:dyDescent="0.25">
      <c r="A26" s="41" t="str">
        <f t="shared" si="0"/>
        <v>B07</v>
      </c>
      <c r="B26" s="38" t="str">
        <f t="shared" si="0"/>
        <v>VODAFONE</v>
      </c>
      <c r="C26" s="38" t="str">
        <f t="shared" si="1"/>
        <v>Άμεση</v>
      </c>
      <c r="D26" s="217">
        <f>IF(S26="",IF(ΓΕΝΙΚΑ!$B$22="ΝΑΙ",14680,""),"")</f>
        <v>14680</v>
      </c>
      <c r="E26" s="221" t="str">
        <f>IF(ΓΕΝΙΚΑ!$B$22="ΝΑΙ","Π. ΚΕΝΤΡΙΚΗΣ ΜΑΚΕΔΟΝΙΑΣ","")</f>
        <v>Π. ΚΕΝΤΡΙΚΗΣ ΜΑΚΕΔΟΝΙΑΣ</v>
      </c>
      <c r="F26" s="7" t="s">
        <v>410</v>
      </c>
      <c r="G26" s="7">
        <v>95</v>
      </c>
      <c r="H26" s="306">
        <v>185.85</v>
      </c>
      <c r="I26" s="249">
        <f t="shared" si="2"/>
        <v>185.85</v>
      </c>
      <c r="J26" s="306">
        <v>225.15</v>
      </c>
      <c r="K26" s="249">
        <f t="shared" si="3"/>
        <v>225.15</v>
      </c>
      <c r="L26" s="309">
        <f t="shared" si="4"/>
        <v>411</v>
      </c>
      <c r="M26" s="147">
        <v>94</v>
      </c>
      <c r="N26" s="301">
        <f t="shared" si="5"/>
        <v>94</v>
      </c>
      <c r="O26"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26"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26" s="266">
        <f t="shared" si="6"/>
        <v>0</v>
      </c>
      <c r="S26" s="122" t="str">
        <f t="shared" si="7"/>
        <v/>
      </c>
      <c r="T26" s="191" t="str">
        <f>IF(AND(L26="",ΠΕΡΙΦΕΡΕΙΑ!B10&lt;&gt;"Καθόλου"),U12,IF(AND(ΠΕΡΙΦΕΡΕΙΑ!B10="Καθόλου",OR(H26&lt;&gt;"",J26&lt;&gt;"")),"Η περιφέρεια δεν καλύπτεται",""))</f>
        <v/>
      </c>
      <c r="Y26" s="190"/>
    </row>
    <row r="27" spans="1:28" ht="409.5" x14ac:dyDescent="0.25">
      <c r="A27" s="41" t="str">
        <f t="shared" si="0"/>
        <v>B07</v>
      </c>
      <c r="B27" s="38" t="str">
        <f t="shared" si="0"/>
        <v>VODAFONE</v>
      </c>
      <c r="C27" s="38" t="str">
        <f t="shared" si="1"/>
        <v>Άμεση</v>
      </c>
      <c r="D27" s="231">
        <f>IF(S27="",IF(ΓΕΝΙΚΑ!$B$22="ΝΑΙ",14682,""),"")</f>
        <v>14682</v>
      </c>
      <c r="E27" s="222" t="str">
        <f>IF(ΓΕΝΙΚΑ!$B$22="ΝΑΙ","Π. ΚΡΗΤΗΣ","")</f>
        <v>Π. ΚΡΗΤΗΣ</v>
      </c>
      <c r="F27" s="7" t="s">
        <v>411</v>
      </c>
      <c r="G27" s="7">
        <v>95</v>
      </c>
      <c r="H27" s="306">
        <v>189.05</v>
      </c>
      <c r="I27" s="249">
        <f t="shared" si="2"/>
        <v>189.05</v>
      </c>
      <c r="J27" s="306">
        <v>195.95</v>
      </c>
      <c r="K27" s="249">
        <f t="shared" si="3"/>
        <v>195.95</v>
      </c>
      <c r="L27" s="309">
        <f t="shared" si="4"/>
        <v>385</v>
      </c>
      <c r="M27" s="147">
        <v>155</v>
      </c>
      <c r="N27" s="301">
        <f t="shared" si="5"/>
        <v>155</v>
      </c>
      <c r="O27"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27"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27" s="266">
        <f t="shared" si="6"/>
        <v>0</v>
      </c>
      <c r="S27" s="122" t="str">
        <f t="shared" si="7"/>
        <v/>
      </c>
      <c r="T27" s="191" t="str">
        <f>IF(AND(L27="",ΠΕΡΙΦΕΡΕΙΑ!B11&lt;&gt;"Καθόλου"),U13,IF(AND(ΠΕΡΙΦΕΡΕΙΑ!B11="Καθόλου",OR(H27&lt;&gt;"",J27&lt;&gt;"")),"Η περιφέρεια δεν καλύπτεται",""))</f>
        <v/>
      </c>
      <c r="Y27" s="190"/>
    </row>
    <row r="28" spans="1:28" ht="409.5" x14ac:dyDescent="0.25">
      <c r="A28" s="41" t="str">
        <f t="shared" si="0"/>
        <v>B07</v>
      </c>
      <c r="B28" s="38" t="str">
        <f t="shared" si="0"/>
        <v>VODAFONE</v>
      </c>
      <c r="C28" s="38" t="str">
        <f t="shared" si="1"/>
        <v>Άμεση</v>
      </c>
      <c r="D28" s="217">
        <f>IF(S28="",IF(ΓΕΝΙΚΑ!$B$22="ΝΑΙ",14684,""),"")</f>
        <v>14684</v>
      </c>
      <c r="E28" s="221" t="str">
        <f>IF(ΓΕΝΙΚΑ!$B$22="ΝΑΙ","Π. ΝΟΤΙΟΥ ΑΙΓΑΙΟΥ","")</f>
        <v>Π. ΝΟΤΙΟΥ ΑΙΓΑΙΟΥ</v>
      </c>
      <c r="F28" s="7" t="s">
        <v>412</v>
      </c>
      <c r="G28" s="7">
        <v>95</v>
      </c>
      <c r="H28" s="306">
        <v>236.65</v>
      </c>
      <c r="I28" s="249">
        <f t="shared" si="2"/>
        <v>236.65</v>
      </c>
      <c r="J28" s="306"/>
      <c r="K28" s="249" t="str">
        <f t="shared" si="3"/>
        <v/>
      </c>
      <c r="L28" s="309">
        <f t="shared" si="4"/>
        <v>237</v>
      </c>
      <c r="M28" s="147">
        <v>126</v>
      </c>
      <c r="N28" s="301">
        <f t="shared" si="5"/>
        <v>126</v>
      </c>
      <c r="O28"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28"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28" s="266">
        <f t="shared" si="6"/>
        <v>0</v>
      </c>
      <c r="S28" s="122" t="str">
        <f t="shared" si="7"/>
        <v/>
      </c>
      <c r="T28" s="191" t="str">
        <f>IF(AND(L28="",ΠΕΡΙΦΕΡΕΙΑ!B12&lt;&gt;"Καθόλου"),U14,IF(AND(ΠΕΡΙΦΕΡΕΙΑ!B12="Καθόλου",OR(H28&lt;&gt;"",J28&lt;&gt;"")),"Η περιφέρεια δεν καλύπτεται",""))</f>
        <v/>
      </c>
      <c r="Y28" s="190"/>
    </row>
    <row r="29" spans="1:28" ht="409.5" x14ac:dyDescent="0.25">
      <c r="A29" s="41" t="str">
        <f t="shared" si="0"/>
        <v>B07</v>
      </c>
      <c r="B29" s="38" t="str">
        <f t="shared" si="0"/>
        <v>VODAFONE</v>
      </c>
      <c r="C29" s="38" t="str">
        <f t="shared" si="1"/>
        <v>Άμεση</v>
      </c>
      <c r="D29" s="231">
        <f>IF(S29="",IF(ΓΕΝΙΚΑ!$B$22="ΝΑΙ",14686,""),"")</f>
        <v>14686</v>
      </c>
      <c r="E29" s="222" t="str">
        <f>IF(ΓΕΝΙΚΑ!$B$22="ΝΑΙ","Π. ΠΕΛΟΠΟΝΝΗΣΟΥ","")</f>
        <v>Π. ΠΕΛΟΠΟΝΝΗΣΟΥ</v>
      </c>
      <c r="F29" s="7" t="s">
        <v>413</v>
      </c>
      <c r="G29" s="7">
        <v>95</v>
      </c>
      <c r="H29" s="306">
        <v>200.13</v>
      </c>
      <c r="I29" s="249">
        <f t="shared" si="2"/>
        <v>200.13</v>
      </c>
      <c r="J29" s="306"/>
      <c r="K29" s="249" t="str">
        <f t="shared" si="3"/>
        <v/>
      </c>
      <c r="L29" s="309">
        <f t="shared" si="4"/>
        <v>200</v>
      </c>
      <c r="M29" s="147">
        <v>89</v>
      </c>
      <c r="N29" s="301">
        <f t="shared" si="5"/>
        <v>89</v>
      </c>
      <c r="O29" s="265"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29" s="265"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29" s="266">
        <f t="shared" si="6"/>
        <v>0</v>
      </c>
      <c r="S29" s="122" t="str">
        <f t="shared" si="7"/>
        <v/>
      </c>
      <c r="T29" s="191" t="str">
        <f>IF(AND(L29="",ΠΕΡΙΦΕΡΕΙΑ!B13&lt;&gt;"Καθόλου"),U15,IF(AND(ΠΕΡΙΦΕΡΕΙΑ!B13="Καθόλου",OR(H29&lt;&gt;"",J29&lt;&gt;"")),"Η περιφέρεια δεν καλύπτεται",""))</f>
        <v/>
      </c>
      <c r="Y29" s="190"/>
    </row>
    <row r="30" spans="1:28" ht="409.6" thickBot="1" x14ac:dyDescent="0.3">
      <c r="A30" s="42" t="str">
        <f t="shared" si="0"/>
        <v>B07</v>
      </c>
      <c r="B30" s="43" t="str">
        <f t="shared" si="0"/>
        <v>VODAFONE</v>
      </c>
      <c r="C30" s="43" t="str">
        <f t="shared" si="1"/>
        <v>Άμεση</v>
      </c>
      <c r="D30" s="218">
        <f>IF(S30="",IF(ΓΕΝΙΚΑ!$B$22="ΝΑΙ",14688,""),"")</f>
        <v>14688</v>
      </c>
      <c r="E30" s="223" t="str">
        <f>IF(ΓΕΝΙΚΑ!$B$22="ΝΑΙ","Π. ΣΤΕΡΕΑΣ ΕΛΛΑΔΑΣ","")</f>
        <v>Π. ΣΤΕΡΕΑΣ ΕΛΛΑΔΑΣ</v>
      </c>
      <c r="F30" s="6" t="s">
        <v>414</v>
      </c>
      <c r="G30" s="6">
        <v>95</v>
      </c>
      <c r="H30" s="307">
        <v>183.79</v>
      </c>
      <c r="I30" s="249">
        <f t="shared" si="2"/>
        <v>183.79</v>
      </c>
      <c r="J30" s="307"/>
      <c r="K30" s="249" t="str">
        <f t="shared" si="3"/>
        <v/>
      </c>
      <c r="L30" s="310">
        <f t="shared" si="4"/>
        <v>184</v>
      </c>
      <c r="M30" s="148">
        <v>77</v>
      </c>
      <c r="N30" s="301">
        <f t="shared" si="5"/>
        <v>77</v>
      </c>
      <c r="O30" s="267" t="str">
        <f t="shared" si="8"/>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v>
      </c>
      <c r="P30" s="267" t="str">
        <f t="shared" si="6"/>
        <v xml:space="preserve">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Τηλεφωνική κλήση: Βλέπε Δ.Π. H01 (Χρέωση: Βλέπε Δ.Π. H02)
Τηλεομοιοτυπία (φαξ): Βλέπε Δ.Π. H01 (Χρέωση: Βλέπε Δ.Π. H02)
e-mail: 24 ώρες την ημέρα, 7 ημέρες την εβδομάδα (Χωρίς Χρέωση)
HOL web site: 24 ώρες την ημέρα, 7 ημέρες την εβδομάδα (Χωρίς Χρέωση) 
Οι συναντήσεις καθορίζονται αμοιβαία με τον πελάτη, με ακρίβεια από 15’ (δεκαπέντε λεπτά, π.χ. 12:00 – 12:15), έως και τρεις (3) ώρες  π.χ. 12:00 – 15:00, ανάλογα με την κρισιμότητα του </v>
      </c>
      <c r="Q30" s="268">
        <f t="shared" si="6"/>
        <v>0</v>
      </c>
      <c r="S30" s="123" t="str">
        <f t="shared" si="7"/>
        <v/>
      </c>
      <c r="T30" s="191" t="str">
        <f>IF(AND(L30="",ΠΕΡΙΦΕΡΕΙΑ!B14&lt;&gt;"Καθόλου"),U16,IF(AND(ΠΕΡΙΦΕΡΕΙΑ!B14="Καθόλου",OR(H30&lt;&gt;"",J30&lt;&gt;"")),"Η περιφέρεια δεν καλύπτεται",""))</f>
        <v/>
      </c>
      <c r="Y30" s="190"/>
    </row>
  </sheetData>
  <sheetProtection algorithmName="SHA-512" hashValue="v0ru9SqPmrp9oe3sA069UrO0Y9MX5cNb6Kg+GlLSae/VWUNs+m8mNo87xo5POPx05lT0PC01KboNiVO+E0+6qg==" saltValue="WCPd5JyM2S5eJkCM8RsE9Q==" spinCount="100000" sheet="1" objects="1" scenarios="1" formatColumns="0" formatRows="0" selectLockedCells="1"/>
  <conditionalFormatting sqref="S3:S30">
    <cfRule type="cellIs" dxfId="1" priority="1" operator="equal">
      <formula>"ΣΦΑΛΜΑ"</formula>
    </cfRule>
  </conditionalFormatting>
  <dataValidations count="4">
    <dataValidation type="list" allowBlank="1" showInputMessage="1" showErrorMessage="1" sqref="C4:C30">
      <formula1>Serv_Type</formula1>
    </dataValidation>
    <dataValidation type="list" allowBlank="1" showInputMessage="1" showErrorMessage="1" sqref="G3:G30">
      <formula1>Percent.</formula1>
    </dataValidation>
    <dataValidation type="list" allowBlank="1" showInputMessage="1" showErrorMessage="1" sqref="C3">
      <formula1>ServiceType</formula1>
    </dataValidation>
    <dataValidation type="list" allowBlank="1" showInputMessage="1" showErrorMessage="1" sqref="F3:F16 F18:F30">
      <formula1>Perifereies.</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
  <sheetViews>
    <sheetView topLeftCell="A2" workbookViewId="0">
      <selection activeCell="K4" sqref="K4"/>
    </sheetView>
  </sheetViews>
  <sheetFormatPr defaultColWidth="0" defaultRowHeight="15" zeroHeight="1" x14ac:dyDescent="0.25"/>
  <cols>
    <col min="1" max="1" width="50" style="167" customWidth="1"/>
    <col min="2" max="2" width="23" style="167" hidden="1" customWidth="1"/>
    <col min="3" max="4" width="23" style="252" hidden="1" customWidth="1"/>
    <col min="5" max="5" width="23" style="167" hidden="1" customWidth="1"/>
    <col min="6" max="6" width="23" style="167" customWidth="1"/>
    <col min="7" max="7" width="35.85546875" style="167" customWidth="1"/>
    <col min="8" max="9" width="28.28515625" style="167" customWidth="1"/>
    <col min="10" max="10" width="69.42578125" style="167" customWidth="1"/>
    <col min="11" max="11" width="56" style="167" customWidth="1"/>
    <col min="12" max="12" width="35.28515625" style="167" customWidth="1"/>
    <col min="13" max="14" width="28.28515625" style="167" customWidth="1"/>
    <col min="15" max="15" width="37.28515625" style="167" customWidth="1"/>
    <col min="16" max="16" width="63.140625" style="167" customWidth="1"/>
    <col min="17" max="17" width="9.140625" style="167" customWidth="1"/>
    <col min="18" max="18" width="16.140625" style="167" customWidth="1"/>
    <col min="19" max="19" width="72.7109375" style="167" customWidth="1"/>
    <col min="20" max="20" width="14.140625" style="167" hidden="1" customWidth="1"/>
    <col min="21" max="16384" width="9.140625" style="167" hidden="1"/>
  </cols>
  <sheetData>
    <row r="1" spans="1:25" ht="15.75" hidden="1" thickBot="1" x14ac:dyDescent="0.3">
      <c r="A1" t="s">
        <v>502</v>
      </c>
      <c r="B1" t="s">
        <v>501</v>
      </c>
      <c r="C1" s="225" t="s">
        <v>900</v>
      </c>
      <c r="D1" s="225" t="s">
        <v>901</v>
      </c>
      <c r="E1" t="s">
        <v>506</v>
      </c>
      <c r="F1" s="2" t="s">
        <v>503</v>
      </c>
      <c r="G1" t="s">
        <v>536</v>
      </c>
      <c r="H1" t="s">
        <v>537</v>
      </c>
      <c r="I1" t="s">
        <v>538</v>
      </c>
      <c r="J1" t="s">
        <v>539</v>
      </c>
      <c r="K1" t="s">
        <v>540</v>
      </c>
      <c r="L1" t="s">
        <v>541</v>
      </c>
      <c r="M1" t="s">
        <v>542</v>
      </c>
      <c r="N1" t="s">
        <v>543</v>
      </c>
      <c r="O1" t="s">
        <v>544</v>
      </c>
      <c r="P1" t="s">
        <v>509</v>
      </c>
      <c r="R1" s="24" t="s">
        <v>516</v>
      </c>
      <c r="S1" s="24" t="s">
        <v>516</v>
      </c>
    </row>
    <row r="2" spans="1:25" ht="51" customHeight="1" thickBot="1" x14ac:dyDescent="0.3">
      <c r="A2" s="3" t="s">
        <v>422</v>
      </c>
      <c r="B2" s="4" t="s">
        <v>28</v>
      </c>
      <c r="C2" s="226"/>
      <c r="D2" s="226"/>
      <c r="E2" s="4" t="s">
        <v>545</v>
      </c>
      <c r="F2" s="4" t="s">
        <v>433</v>
      </c>
      <c r="G2" s="4" t="s">
        <v>566</v>
      </c>
      <c r="H2" s="4" t="s">
        <v>471</v>
      </c>
      <c r="I2" s="4" t="s">
        <v>472</v>
      </c>
      <c r="J2" s="4" t="s">
        <v>473</v>
      </c>
      <c r="K2" s="4" t="s">
        <v>474</v>
      </c>
      <c r="L2" s="182" t="s">
        <v>475</v>
      </c>
      <c r="M2" s="182" t="s">
        <v>476</v>
      </c>
      <c r="N2" s="182" t="s">
        <v>477</v>
      </c>
      <c r="O2" s="4" t="s">
        <v>482</v>
      </c>
      <c r="P2" s="22" t="s">
        <v>421</v>
      </c>
      <c r="R2" s="121" t="s">
        <v>452</v>
      </c>
      <c r="S2" s="103" t="s">
        <v>550</v>
      </c>
    </row>
    <row r="3" spans="1:25" ht="134.44999999999999" customHeight="1" thickTop="1" x14ac:dyDescent="0.25">
      <c r="A3" s="17" t="s">
        <v>478</v>
      </c>
      <c r="B3" s="255" t="str">
        <f>ΓΕΝΙΚΑ!C4</f>
        <v>VODAFONE</v>
      </c>
      <c r="C3" s="224">
        <f>IF(R3="",IF(ΓΕΝΙΚΑ!$B$23="ΝΑΙ",15300,""),"")</f>
        <v>15300</v>
      </c>
      <c r="D3" s="224" t="str">
        <f>IF(ΓΕΝΙΚΑ!$B$23="ΝΑΙ","ΠΑΝΕΛΛΑΔΙΚΑ","")</f>
        <v>ΠΑΝΕΛΛΑΔΙΚΑ</v>
      </c>
      <c r="E3" s="18" t="s">
        <v>552</v>
      </c>
      <c r="F3" s="152" t="s">
        <v>434</v>
      </c>
      <c r="G3" s="153" t="s">
        <v>954</v>
      </c>
      <c r="H3" s="154" t="s">
        <v>955</v>
      </c>
      <c r="I3" s="154" t="s">
        <v>956</v>
      </c>
      <c r="J3" s="154" t="s">
        <v>957</v>
      </c>
      <c r="K3" s="302" t="s">
        <v>958</v>
      </c>
      <c r="L3" s="154"/>
      <c r="M3" s="154"/>
      <c r="N3" s="157"/>
      <c r="O3" s="157"/>
      <c r="P3" s="269"/>
      <c r="R3" s="122" t="str">
        <f>IF(S3="","","ΣΦΑΛΜΑ")</f>
        <v/>
      </c>
      <c r="S3" s="150" t="str">
        <f>CONCATENATE(IF(F3="","Πρέπει να συμπληρωθεί υποχρεωτικά ο τύπος υπηρεσίας",""),IF(AND(FALSE,Y3&lt;&gt;0),"Σφάλμα ημερομηνίας",""),)</f>
        <v/>
      </c>
      <c r="T3" s="167" t="str">
        <f>TEXT(G3,"ηη/ΜΜ/εεεε")</f>
        <v>15.1.2014</v>
      </c>
      <c r="U3" s="167">
        <f>VALUE(LEFT(T3,2))</f>
        <v>15</v>
      </c>
      <c r="V3" s="167" t="e">
        <f>VALUE(MID(T3,4,2))</f>
        <v>#VALUE!</v>
      </c>
      <c r="W3" s="167">
        <f>VALUE(RIGHT(T3,4))</f>
        <v>2014</v>
      </c>
      <c r="X3" s="167" t="e">
        <f>IF(LEN((T3)=10),0,1)+IF(AND(U3&gt;0,U3&lt;32),0,1)+IF(AND(V3&gt;0,V3&lt;13),0,1)+IF(AND(W3&gt;2000,W3&lt;2030),0,1)</f>
        <v>#VALUE!</v>
      </c>
      <c r="Y3" s="167">
        <f>IF(ISERR(X3),1,X3)</f>
        <v>1</v>
      </c>
    </row>
    <row r="4" spans="1:25" ht="75" customHeight="1" x14ac:dyDescent="0.25">
      <c r="A4" s="13" t="str">
        <f>A3</f>
        <v>B08</v>
      </c>
      <c r="B4" s="256" t="str">
        <f>B3</f>
        <v>VODAFONE</v>
      </c>
      <c r="C4" s="224">
        <f>IF(R4="",IF(ΓΕΝΙΚΑ!$B$23="ΝΑΙ",15300,""),"")</f>
        <v>15300</v>
      </c>
      <c r="D4" s="224" t="str">
        <f>IF(ΓΕΝΙΚΑ!$B$23="ΝΑΙ","ΠΑΝΕΛΛΑΔΙΚΑ","")</f>
        <v>ΠΑΝΕΛΛΑΔΙΚΑ</v>
      </c>
      <c r="E4" s="18" t="s">
        <v>552</v>
      </c>
      <c r="F4" s="53" t="str">
        <f>F3</f>
        <v>Άμεση</v>
      </c>
      <c r="G4" s="54" t="str">
        <f>G3</f>
        <v>15.1.2014</v>
      </c>
      <c r="H4" s="155"/>
      <c r="I4" s="155"/>
      <c r="J4" s="155"/>
      <c r="K4" s="155"/>
      <c r="L4" s="155"/>
      <c r="M4" s="155"/>
      <c r="N4" s="158"/>
      <c r="O4" s="160"/>
      <c r="P4" s="270"/>
      <c r="R4" s="122" t="str">
        <f t="shared" ref="R4:R7" si="0">IF(S4="","","ΣΦΑΛΜΑ")</f>
        <v/>
      </c>
      <c r="S4" s="151" t="str">
        <f t="shared" ref="S4:S7" si="1">CONCATENATE(IF(F4="","Πρέπει να συμπληρωθεί υποχρεωτικά ο τύπος υπηρεσίας",""),IF(AND(FALSE,Y4&lt;&gt;0),"Σφάλμα ημερομηνίας",""),)</f>
        <v/>
      </c>
      <c r="T4" s="167" t="str">
        <f t="shared" ref="T4:T7" si="2">TEXT(G4,"ηη/ΜΜ/εεεε")</f>
        <v>15.1.2014</v>
      </c>
      <c r="U4" s="252">
        <f t="shared" ref="U4:U7" si="3">VALUE(LEFT(T4,2))</f>
        <v>15</v>
      </c>
      <c r="V4" s="252" t="e">
        <f t="shared" ref="V4:V7" si="4">VALUE(MID(T4,4,2))</f>
        <v>#VALUE!</v>
      </c>
      <c r="W4" s="252">
        <f t="shared" ref="W4:W7" si="5">VALUE(RIGHT(T4,4))</f>
        <v>2014</v>
      </c>
      <c r="X4" s="167" t="e">
        <f t="shared" ref="X4:X7" si="6">IF(LEN((T4)=10),0,1)+IF(AND(U4&gt;0,U4&lt;32),0,1)+IF(AND(V4&gt;0,V4&lt;13),0,1)+IF(AND(W4&gt;2000,W4&lt;2030),0,1)</f>
        <v>#VALUE!</v>
      </c>
      <c r="Y4" s="167">
        <f t="shared" ref="Y4:Y7" si="7">IF(ISERR(X4),1,X4)</f>
        <v>1</v>
      </c>
    </row>
    <row r="5" spans="1:25" ht="75" customHeight="1" x14ac:dyDescent="0.25">
      <c r="A5" s="13" t="str">
        <f>A3</f>
        <v>B08</v>
      </c>
      <c r="B5" s="256" t="str">
        <f>B3</f>
        <v>VODAFONE</v>
      </c>
      <c r="C5" s="224">
        <f>IF(R5="",IF(ΓΕΝΙΚΑ!$B$23="ΝΑΙ",15300,""),"")</f>
        <v>15300</v>
      </c>
      <c r="D5" s="224" t="str">
        <f>IF(ΓΕΝΙΚΑ!$B$23="ΝΑΙ","ΠΑΝΕΛΛΑΔΙΚΑ","")</f>
        <v>ΠΑΝΕΛΛΑΔΙΚΑ</v>
      </c>
      <c r="E5" s="18" t="s">
        <v>552</v>
      </c>
      <c r="F5" s="53" t="str">
        <f>F3</f>
        <v>Άμεση</v>
      </c>
      <c r="G5" s="54" t="str">
        <f>G3</f>
        <v>15.1.2014</v>
      </c>
      <c r="H5" s="155"/>
      <c r="I5" s="155"/>
      <c r="J5" s="155"/>
      <c r="K5" s="155"/>
      <c r="L5" s="155"/>
      <c r="M5" s="155"/>
      <c r="N5" s="158"/>
      <c r="O5" s="160"/>
      <c r="P5" s="270"/>
      <c r="R5" s="122" t="str">
        <f t="shared" si="0"/>
        <v/>
      </c>
      <c r="S5" s="151" t="str">
        <f t="shared" si="1"/>
        <v/>
      </c>
      <c r="T5" s="167" t="str">
        <f t="shared" si="2"/>
        <v>15.1.2014</v>
      </c>
      <c r="U5" s="252">
        <f t="shared" si="3"/>
        <v>15</v>
      </c>
      <c r="V5" s="252" t="e">
        <f t="shared" si="4"/>
        <v>#VALUE!</v>
      </c>
      <c r="W5" s="252">
        <f t="shared" si="5"/>
        <v>2014</v>
      </c>
      <c r="X5" s="167" t="e">
        <f t="shared" si="6"/>
        <v>#VALUE!</v>
      </c>
      <c r="Y5" s="167">
        <f t="shared" si="7"/>
        <v>1</v>
      </c>
    </row>
    <row r="6" spans="1:25" ht="75" customHeight="1" x14ac:dyDescent="0.25">
      <c r="A6" s="13" t="str">
        <f>A3</f>
        <v>B08</v>
      </c>
      <c r="B6" s="256" t="str">
        <f>B3</f>
        <v>VODAFONE</v>
      </c>
      <c r="C6" s="224">
        <f>IF(R6="",IF(ΓΕΝΙΚΑ!$B$23="ΝΑΙ",15300,""),"")</f>
        <v>15300</v>
      </c>
      <c r="D6" s="224" t="str">
        <f>IF(ΓΕΝΙΚΑ!$B$23="ΝΑΙ","ΠΑΝΕΛΛΑΔΙΚΑ","")</f>
        <v>ΠΑΝΕΛΛΑΔΙΚΑ</v>
      </c>
      <c r="E6" s="18" t="s">
        <v>552</v>
      </c>
      <c r="F6" s="53" t="str">
        <f>F3</f>
        <v>Άμεση</v>
      </c>
      <c r="G6" s="54" t="str">
        <f>G3</f>
        <v>15.1.2014</v>
      </c>
      <c r="H6" s="155"/>
      <c r="I6" s="155"/>
      <c r="J6" s="155"/>
      <c r="K6" s="155"/>
      <c r="L6" s="155"/>
      <c r="M6" s="155"/>
      <c r="N6" s="158"/>
      <c r="O6" s="160"/>
      <c r="P6" s="270"/>
      <c r="R6" s="122" t="str">
        <f t="shared" si="0"/>
        <v/>
      </c>
      <c r="S6" s="151" t="str">
        <f t="shared" si="1"/>
        <v/>
      </c>
      <c r="T6" s="167" t="str">
        <f t="shared" si="2"/>
        <v>15.1.2014</v>
      </c>
      <c r="U6" s="252">
        <f t="shared" si="3"/>
        <v>15</v>
      </c>
      <c r="V6" s="252" t="e">
        <f t="shared" si="4"/>
        <v>#VALUE!</v>
      </c>
      <c r="W6" s="252">
        <f t="shared" si="5"/>
        <v>2014</v>
      </c>
      <c r="X6" s="167" t="e">
        <f t="shared" si="6"/>
        <v>#VALUE!</v>
      </c>
      <c r="Y6" s="167">
        <f t="shared" si="7"/>
        <v>1</v>
      </c>
    </row>
    <row r="7" spans="1:25" ht="75" customHeight="1" thickBot="1" x14ac:dyDescent="0.3">
      <c r="A7" s="15" t="str">
        <f>A3</f>
        <v>B08</v>
      </c>
      <c r="B7" s="257" t="str">
        <f>B3</f>
        <v>VODAFONE</v>
      </c>
      <c r="C7" s="224">
        <f>IF(R7="",IF(ΓΕΝΙΚΑ!$B$23="ΝΑΙ",15300,""),"")</f>
        <v>15300</v>
      </c>
      <c r="D7" s="224" t="str">
        <f>IF(ΓΕΝΙΚΑ!$B$23="ΝΑΙ","ΠΑΝΕΛΛΑΔΙΚΑ","")</f>
        <v>ΠΑΝΕΛΛΑΔΙΚΑ</v>
      </c>
      <c r="E7" s="18" t="s">
        <v>552</v>
      </c>
      <c r="F7" s="21" t="str">
        <f>F3</f>
        <v>Άμεση</v>
      </c>
      <c r="G7" s="55" t="str">
        <f>G3</f>
        <v>15.1.2014</v>
      </c>
      <c r="H7" s="156"/>
      <c r="I7" s="156"/>
      <c r="J7" s="156"/>
      <c r="K7" s="156"/>
      <c r="L7" s="156"/>
      <c r="M7" s="156"/>
      <c r="N7" s="159"/>
      <c r="O7" s="161"/>
      <c r="P7" s="271"/>
      <c r="R7" s="123" t="str">
        <f t="shared" si="0"/>
        <v/>
      </c>
      <c r="S7" s="145" t="str">
        <f t="shared" si="1"/>
        <v/>
      </c>
      <c r="T7" s="167" t="str">
        <f t="shared" si="2"/>
        <v>15.1.2014</v>
      </c>
      <c r="U7" s="252">
        <f t="shared" si="3"/>
        <v>15</v>
      </c>
      <c r="V7" s="252" t="e">
        <f t="shared" si="4"/>
        <v>#VALUE!</v>
      </c>
      <c r="W7" s="252">
        <f t="shared" si="5"/>
        <v>2014</v>
      </c>
      <c r="X7" s="167" t="e">
        <f t="shared" si="6"/>
        <v>#VALUE!</v>
      </c>
      <c r="Y7" s="167">
        <f t="shared" si="7"/>
        <v>1</v>
      </c>
    </row>
  </sheetData>
  <sheetProtection algorithmName="SHA-512" hashValue="k+RlbzL4gSEIlS6K2wYzoxaUEy/KNJYbS6EbR3MRfysg+5YZb5Q//cOj0QlMOxthkyXXSfYonfRHJnvMyhonsw==" saltValue="QDoIObar9JMxpaP51K6q/A==" spinCount="100000" sheet="1" objects="1" scenarios="1" formatColumns="0" formatRows="0" selectLockedCells="1"/>
  <conditionalFormatting sqref="R3:R7">
    <cfRule type="cellIs" dxfId="0" priority="1" operator="equal">
      <formula>"ΣΦΑΛΜΑ"</formula>
    </cfRule>
  </conditionalFormatting>
  <dataValidations count="1">
    <dataValidation type="list" allowBlank="1" showInputMessage="1" showErrorMessage="1" sqref="F3:F7">
      <formula1>ServiceType</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R23"/>
  <sheetViews>
    <sheetView topLeftCell="J1" workbookViewId="0">
      <selection activeCell="R11" sqref="R11"/>
    </sheetView>
  </sheetViews>
  <sheetFormatPr defaultRowHeight="15" x14ac:dyDescent="0.25"/>
  <cols>
    <col min="1" max="1" width="28.140625" customWidth="1"/>
    <col min="2" max="3" width="21.85546875" customWidth="1"/>
    <col min="4" max="4" width="26.42578125" customWidth="1"/>
    <col min="5" max="5" width="26.28515625" customWidth="1"/>
    <col min="6" max="6" width="29.42578125" customWidth="1"/>
    <col min="7" max="7" width="19.85546875" customWidth="1"/>
    <col min="8" max="8" width="23.5703125" customWidth="1"/>
    <col min="9" max="9" width="14.5703125" bestFit="1" customWidth="1"/>
    <col min="10" max="10" width="25.7109375" customWidth="1"/>
    <col min="11" max="11" width="26.140625" customWidth="1"/>
    <col min="12" max="12" width="16.5703125" bestFit="1" customWidth="1"/>
    <col min="14" max="14" width="20.85546875" bestFit="1" customWidth="1"/>
    <col min="16" max="16" width="21.5703125" customWidth="1"/>
    <col min="17" max="17" width="16.7109375" customWidth="1"/>
    <col min="18" max="18" width="19.28515625" customWidth="1"/>
  </cols>
  <sheetData>
    <row r="2" spans="1:18" ht="30" x14ac:dyDescent="0.25">
      <c r="A2" t="s">
        <v>495</v>
      </c>
      <c r="B2" s="1" t="s">
        <v>0</v>
      </c>
      <c r="C2" s="1" t="s">
        <v>458</v>
      </c>
      <c r="D2" s="1" t="s">
        <v>3</v>
      </c>
      <c r="E2" s="1" t="s">
        <v>29</v>
      </c>
      <c r="F2" s="1" t="s">
        <v>34</v>
      </c>
      <c r="G2" s="1" t="s">
        <v>418</v>
      </c>
      <c r="H2" s="11" t="s">
        <v>451</v>
      </c>
      <c r="I2" s="1" t="s">
        <v>423</v>
      </c>
      <c r="J2" s="1" t="s">
        <v>520</v>
      </c>
      <c r="K2" s="1" t="s">
        <v>429</v>
      </c>
      <c r="L2" s="1" t="s">
        <v>433</v>
      </c>
      <c r="M2" s="1" t="s">
        <v>436</v>
      </c>
      <c r="N2" s="1" t="s">
        <v>439</v>
      </c>
      <c r="O2" s="1" t="s">
        <v>444</v>
      </c>
      <c r="P2" s="1" t="s">
        <v>483</v>
      </c>
      <c r="Q2" s="11" t="s">
        <v>931</v>
      </c>
      <c r="R2" s="11" t="s">
        <v>930</v>
      </c>
    </row>
    <row r="3" spans="1:18" x14ac:dyDescent="0.25">
      <c r="A3" t="s">
        <v>419</v>
      </c>
      <c r="B3" t="s">
        <v>4</v>
      </c>
      <c r="C3" t="s">
        <v>24</v>
      </c>
      <c r="D3" t="s">
        <v>5</v>
      </c>
      <c r="E3" t="s">
        <v>498</v>
      </c>
      <c r="F3" t="s">
        <v>35</v>
      </c>
      <c r="G3" t="s">
        <v>419</v>
      </c>
      <c r="H3" t="s">
        <v>419</v>
      </c>
      <c r="I3" t="s">
        <v>424</v>
      </c>
      <c r="J3">
        <v>5</v>
      </c>
      <c r="L3" t="s">
        <v>434</v>
      </c>
      <c r="M3" t="s">
        <v>437</v>
      </c>
      <c r="N3" t="s">
        <v>440</v>
      </c>
      <c r="O3" t="s">
        <v>445</v>
      </c>
      <c r="P3" t="s">
        <v>484</v>
      </c>
      <c r="Q3" s="295">
        <v>2</v>
      </c>
      <c r="R3" s="295">
        <v>0.5</v>
      </c>
    </row>
    <row r="4" spans="1:18" x14ac:dyDescent="0.25">
      <c r="A4" t="s">
        <v>420</v>
      </c>
      <c r="B4" t="s">
        <v>6</v>
      </c>
      <c r="C4" t="s">
        <v>2</v>
      </c>
      <c r="D4" t="s">
        <v>7</v>
      </c>
      <c r="E4" t="s">
        <v>30</v>
      </c>
      <c r="F4" t="s">
        <v>36</v>
      </c>
      <c r="G4" t="s">
        <v>420</v>
      </c>
      <c r="H4" t="s">
        <v>420</v>
      </c>
      <c r="I4" t="s">
        <v>425</v>
      </c>
      <c r="J4">
        <v>4</v>
      </c>
      <c r="K4" t="s">
        <v>430</v>
      </c>
      <c r="L4" t="s">
        <v>435</v>
      </c>
      <c r="M4" t="s">
        <v>438</v>
      </c>
      <c r="N4" t="s">
        <v>480</v>
      </c>
      <c r="O4" t="s">
        <v>446</v>
      </c>
      <c r="P4" t="s">
        <v>485</v>
      </c>
      <c r="Q4" s="295">
        <v>4</v>
      </c>
      <c r="R4" s="295">
        <v>1</v>
      </c>
    </row>
    <row r="5" spans="1:18" x14ac:dyDescent="0.25">
      <c r="B5" t="s">
        <v>8</v>
      </c>
      <c r="D5" t="s">
        <v>9</v>
      </c>
      <c r="E5" t="s">
        <v>932</v>
      </c>
      <c r="F5" t="s">
        <v>37</v>
      </c>
      <c r="I5" t="s">
        <v>426</v>
      </c>
      <c r="J5">
        <v>3</v>
      </c>
      <c r="K5" t="s">
        <v>431</v>
      </c>
      <c r="N5" t="s">
        <v>441</v>
      </c>
      <c r="Q5" s="295">
        <v>8</v>
      </c>
      <c r="R5" s="295">
        <v>2.5</v>
      </c>
    </row>
    <row r="6" spans="1:18" x14ac:dyDescent="0.25">
      <c r="B6" t="s">
        <v>10</v>
      </c>
      <c r="D6" t="s">
        <v>11</v>
      </c>
      <c r="E6" t="s">
        <v>31</v>
      </c>
      <c r="I6" t="s">
        <v>427</v>
      </c>
      <c r="J6">
        <v>2</v>
      </c>
      <c r="K6" t="s">
        <v>432</v>
      </c>
      <c r="N6" t="s">
        <v>481</v>
      </c>
      <c r="Q6" s="295">
        <v>16</v>
      </c>
      <c r="R6" s="295">
        <v>3</v>
      </c>
    </row>
    <row r="7" spans="1:18" x14ac:dyDescent="0.25">
      <c r="B7" t="s">
        <v>12</v>
      </c>
      <c r="E7" t="s">
        <v>927</v>
      </c>
      <c r="I7" t="s">
        <v>428</v>
      </c>
      <c r="J7">
        <v>1</v>
      </c>
      <c r="K7" t="s">
        <v>462</v>
      </c>
      <c r="Q7" s="295">
        <v>24</v>
      </c>
      <c r="R7" s="295">
        <v>5</v>
      </c>
    </row>
    <row r="8" spans="1:18" x14ac:dyDescent="0.25">
      <c r="B8" t="s">
        <v>13</v>
      </c>
      <c r="Q8" s="295">
        <v>30</v>
      </c>
      <c r="R8" s="295">
        <v>10</v>
      </c>
    </row>
    <row r="9" spans="1:18" x14ac:dyDescent="0.25">
      <c r="B9" t="s">
        <v>14</v>
      </c>
      <c r="Q9" s="295">
        <v>35</v>
      </c>
      <c r="R9" s="295"/>
    </row>
    <row r="10" spans="1:18" x14ac:dyDescent="0.25">
      <c r="B10" t="s">
        <v>15</v>
      </c>
      <c r="Q10" s="295">
        <v>50</v>
      </c>
      <c r="R10" s="295"/>
    </row>
    <row r="11" spans="1:18" x14ac:dyDescent="0.25">
      <c r="B11" t="s">
        <v>16</v>
      </c>
      <c r="Q11" s="295"/>
      <c r="R11" s="295"/>
    </row>
    <row r="12" spans="1:18" x14ac:dyDescent="0.25">
      <c r="B12" t="s">
        <v>17</v>
      </c>
      <c r="Q12" s="295"/>
      <c r="R12" s="295"/>
    </row>
    <row r="13" spans="1:18" x14ac:dyDescent="0.25">
      <c r="B13" t="s">
        <v>18</v>
      </c>
      <c r="Q13" s="295"/>
      <c r="R13" s="295"/>
    </row>
    <row r="14" spans="1:18" x14ac:dyDescent="0.25">
      <c r="B14" t="s">
        <v>19</v>
      </c>
    </row>
    <row r="15" spans="1:18" x14ac:dyDescent="0.25">
      <c r="B15" t="s">
        <v>20</v>
      </c>
    </row>
    <row r="16" spans="1:18" x14ac:dyDescent="0.25">
      <c r="B16" t="s">
        <v>21</v>
      </c>
    </row>
    <row r="17" spans="2:2" x14ac:dyDescent="0.25">
      <c r="B17" t="s">
        <v>22</v>
      </c>
    </row>
    <row r="18" spans="2:2" x14ac:dyDescent="0.25">
      <c r="B18" t="s">
        <v>23</v>
      </c>
    </row>
    <row r="19" spans="2:2" x14ac:dyDescent="0.25">
      <c r="B19" t="s">
        <v>24</v>
      </c>
    </row>
    <row r="20" spans="2:2" x14ac:dyDescent="0.25">
      <c r="B20" t="s">
        <v>2</v>
      </c>
    </row>
    <row r="21" spans="2:2" x14ac:dyDescent="0.25">
      <c r="B21" t="s">
        <v>25</v>
      </c>
    </row>
    <row r="22" spans="2:2" x14ac:dyDescent="0.25">
      <c r="B22" t="s">
        <v>26</v>
      </c>
    </row>
    <row r="23" spans="2:2" x14ac:dyDescent="0.25">
      <c r="B23" t="s">
        <v>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Φύλλα εργασίας</vt:lpstr>
      </vt:variant>
      <vt:variant>
        <vt:i4>14</vt:i4>
      </vt:variant>
      <vt:variant>
        <vt:lpstr>Περιοχές με ονόματα</vt:lpstr>
      </vt:variant>
      <vt:variant>
        <vt:i4>32</vt:i4>
      </vt:variant>
    </vt:vector>
  </HeadingPairs>
  <TitlesOfParts>
    <vt:vector size="46" baseType="lpstr">
      <vt:lpstr>ΓΕΝΙΚΑ</vt:lpstr>
      <vt:lpstr>ΠΕΡΙΦΕΡΕΙΑ</vt:lpstr>
      <vt:lpstr>ΔΗΜΟΣ</vt:lpstr>
      <vt:lpstr>ΤΚ</vt:lpstr>
      <vt:lpstr>ΤΚ ΜΕΤΡΗΣΕΩΝ B01</vt:lpstr>
      <vt:lpstr>B01</vt:lpstr>
      <vt:lpstr>B02</vt:lpstr>
      <vt:lpstr>B03</vt:lpstr>
      <vt:lpstr>B04</vt:lpstr>
      <vt:lpstr>B05</vt:lpstr>
      <vt:lpstr>B06</vt:lpstr>
      <vt:lpstr>B07</vt:lpstr>
      <vt:lpstr>B08</vt:lpstr>
      <vt:lpstr>Lists</vt:lpstr>
      <vt:lpstr>CallType</vt:lpstr>
      <vt:lpstr>Coverage.Type.</vt:lpstr>
      <vt:lpstr>DimosCoverage</vt:lpstr>
      <vt:lpstr>DimosNai</vt:lpstr>
      <vt:lpstr>DimosNaiOxi</vt:lpstr>
      <vt:lpstr>DimosNameNai</vt:lpstr>
      <vt:lpstr>dimosSN</vt:lpstr>
      <vt:lpstr>dimosSNnai</vt:lpstr>
      <vt:lpstr>Direction_</vt:lpstr>
      <vt:lpstr>level.</vt:lpstr>
      <vt:lpstr>maxDown</vt:lpstr>
      <vt:lpstr>maxUp</vt:lpstr>
      <vt:lpstr>MeasTK</vt:lpstr>
      <vt:lpstr>Operators.</vt:lpstr>
      <vt:lpstr>OrchardID</vt:lpstr>
      <vt:lpstr>OrchardIDnai</vt:lpstr>
      <vt:lpstr>OrchardName</vt:lpstr>
      <vt:lpstr>OrchardNameNai</vt:lpstr>
      <vt:lpstr>Packet</vt:lpstr>
      <vt:lpstr>Perifereies.</vt:lpstr>
      <vt:lpstr>Period.</vt:lpstr>
      <vt:lpstr>POTS</vt:lpstr>
      <vt:lpstr>Quality</vt:lpstr>
      <vt:lpstr>Semester</vt:lpstr>
      <vt:lpstr>ServiceType</vt:lpstr>
      <vt:lpstr>SpeedValue</vt:lpstr>
      <vt:lpstr>SubmitKML</vt:lpstr>
      <vt:lpstr>submitQI</vt:lpstr>
      <vt:lpstr>Terminals</vt:lpstr>
      <vt:lpstr>TK</vt:lpstr>
      <vt:lpstr>TK1T</vt:lpstr>
      <vt:lpstr>Άμεση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lastModifiedBy>Giannis Koukoutsidis</cp:lastModifiedBy>
  <dcterms:created xsi:type="dcterms:W3CDTF">2015-03-10T09:10:24Z</dcterms:created>
  <dcterms:modified xsi:type="dcterms:W3CDTF">2020-07-15T09:34:59Z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59f705-2ba0-454b-9cfc-6ce5bcaac040_Enabled">
    <vt:lpwstr>True</vt:lpwstr>
  </property>
  <property fmtid="{D5CDD505-2E9C-101B-9397-08002B2CF9AE}" pid="3" name="MSIP_Label_0359f705-2ba0-454b-9cfc-6ce5bcaac040_SiteId">
    <vt:lpwstr>68283f3b-8487-4c86-adb3-a5228f18b893</vt:lpwstr>
  </property>
  <property fmtid="{D5CDD505-2E9C-101B-9397-08002B2CF9AE}" pid="4" name="MSIP_Label_0359f705-2ba0-454b-9cfc-6ce5bcaac040_Owner">
    <vt:lpwstr>maria.nikopoulou@vodafone.com</vt:lpwstr>
  </property>
  <property fmtid="{D5CDD505-2E9C-101B-9397-08002B2CF9AE}" pid="5" name="MSIP_Label_0359f705-2ba0-454b-9cfc-6ce5bcaac040_SetDate">
    <vt:lpwstr>2019-10-01T14:28:16.1780769Z</vt:lpwstr>
  </property>
  <property fmtid="{D5CDD505-2E9C-101B-9397-08002B2CF9AE}" pid="6" name="MSIP_Label_0359f705-2ba0-454b-9cfc-6ce5bcaac040_Name">
    <vt:lpwstr>C2 General</vt:lpwstr>
  </property>
  <property fmtid="{D5CDD505-2E9C-101B-9397-08002B2CF9AE}" pid="7" name="MSIP_Label_0359f705-2ba0-454b-9cfc-6ce5bcaac040_Application">
    <vt:lpwstr>Microsoft Azure Information Protection</vt:lpwstr>
  </property>
  <property fmtid="{D5CDD505-2E9C-101B-9397-08002B2CF9AE}" pid="8" name="MSIP_Label_0359f705-2ba0-454b-9cfc-6ce5bcaac040_Extended_MSFT_Method">
    <vt:lpwstr>Automatic</vt:lpwstr>
  </property>
  <property fmtid="{D5CDD505-2E9C-101B-9397-08002B2CF9AE}" pid="9" name="Sensitivity">
    <vt:lpwstr>C2 General</vt:lpwstr>
  </property>
</Properties>
</file>