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B-S1_2018\"/>
    </mc:Choice>
  </mc:AlternateContent>
  <workbookProtection workbookAlgorithmName="SHA-512" workbookHashValue="oJ6u50p9yLUPhcvJt5Gt4Z5dq03ipWqXWE+WA7dOsXBGd2Zu9NVZm7P0a4b22J7sIZEZ0tHTbLplvsZPnEMxEw==" workbookSaltValue="BDxDFC4hqpQXgH3TuGMXvQ==" workbookSpinCount="100000" lockStructure="1"/>
  <bookViews>
    <workbookView xWindow="0" yWindow="0" windowWidth="28800" windowHeight="12435"/>
  </bookViews>
  <sheets>
    <sheet name="ΓΕΝΙΚΑ" sheetId="6" r:id="rId1"/>
    <sheet name="ΠΕΡΙΦΕΡΕΙΑ" sheetId="3" state="hidden" r:id="rId2"/>
    <sheet name="ΔΗΜΟΣ" sheetId="4" state="hidden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Coverage">Lists!$G$3:$G$4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axDown">Lists!$Q$3:$Q$13</definedName>
    <definedName name="maxUp">Lists!$R$3:$R$13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8" i="1"/>
  <c r="I17" i="1"/>
  <c r="I16" i="1"/>
  <c r="I15" i="1"/>
  <c r="I14" i="1"/>
  <c r="I13" i="1"/>
  <c r="I12" i="1"/>
  <c r="I11" i="1"/>
  <c r="I10" i="1" l="1"/>
  <c r="I9" i="1"/>
  <c r="I8" i="1"/>
  <c r="I7" i="1"/>
  <c r="I6" i="1"/>
  <c r="I5" i="1"/>
  <c r="I3" i="1"/>
  <c r="G5" i="8" l="1"/>
  <c r="G10" i="8" s="1"/>
  <c r="C6" i="9" l="1"/>
  <c r="C5" i="9"/>
  <c r="C4" i="9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P4" i="11" l="1"/>
  <c r="P16" i="11"/>
  <c r="P15" i="11"/>
  <c r="P14" i="11"/>
  <c r="P13" i="11"/>
  <c r="P12" i="11"/>
  <c r="P11" i="11"/>
  <c r="P10" i="11"/>
  <c r="P9" i="11"/>
  <c r="P8" i="11"/>
  <c r="P7" i="11"/>
  <c r="P6" i="11"/>
  <c r="P5" i="11"/>
  <c r="O3" i="7"/>
  <c r="N3" i="12" l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D7" i="13" l="1"/>
  <c r="D6" i="13"/>
  <c r="D5" i="13"/>
  <c r="D4" i="13"/>
  <c r="D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8" i="7"/>
  <c r="E7" i="7"/>
  <c r="E6" i="7"/>
  <c r="E5" i="7"/>
  <c r="E4" i="7"/>
  <c r="E3" i="7"/>
  <c r="O16" i="11" l="1"/>
  <c r="D16" i="11" s="1"/>
  <c r="O15" i="11"/>
  <c r="D15" i="11" s="1"/>
  <c r="O14" i="11"/>
  <c r="D14" i="11" s="1"/>
  <c r="O13" i="11"/>
  <c r="D13" i="11" s="1"/>
  <c r="O12" i="11"/>
  <c r="D12" i="11" s="1"/>
  <c r="O11" i="11"/>
  <c r="D11" i="11" s="1"/>
  <c r="O10" i="11"/>
  <c r="D10" i="11" s="1"/>
  <c r="O9" i="11"/>
  <c r="D9" i="11" s="1"/>
  <c r="O8" i="11"/>
  <c r="D8" i="11" s="1"/>
  <c r="O7" i="11"/>
  <c r="D7" i="11" s="1"/>
  <c r="O6" i="11"/>
  <c r="D6" i="11" s="1"/>
  <c r="O5" i="11"/>
  <c r="D5" i="11" s="1"/>
  <c r="O4" i="11"/>
  <c r="D4" i="11" s="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J8" i="7" l="1"/>
  <c r="J7" i="7"/>
  <c r="J6" i="7"/>
  <c r="J5" i="7"/>
  <c r="J4" i="7"/>
  <c r="O4" i="7" s="1"/>
  <c r="L30" i="12" l="1"/>
  <c r="T30" i="12" s="1"/>
  <c r="L29" i="12"/>
  <c r="T29" i="12" s="1"/>
  <c r="L28" i="12"/>
  <c r="T28" i="12" s="1"/>
  <c r="L27" i="12"/>
  <c r="T27" i="12" s="1"/>
  <c r="L26" i="12"/>
  <c r="T26" i="12" s="1"/>
  <c r="L25" i="12"/>
  <c r="T25" i="12" s="1"/>
  <c r="L24" i="12"/>
  <c r="T24" i="12" s="1"/>
  <c r="L23" i="12"/>
  <c r="T23" i="12" s="1"/>
  <c r="L22" i="12"/>
  <c r="T22" i="12" s="1"/>
  <c r="L21" i="12"/>
  <c r="T21" i="12" s="1"/>
  <c r="L20" i="12"/>
  <c r="T20" i="12" s="1"/>
  <c r="L19" i="12"/>
  <c r="T19" i="12" s="1"/>
  <c r="L18" i="12"/>
  <c r="T18" i="12" s="1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3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8" i="7"/>
  <c r="K7" i="7"/>
  <c r="K6" i="7"/>
  <c r="K5" i="7"/>
  <c r="K4" i="7"/>
  <c r="K3" i="7"/>
  <c r="I8" i="7"/>
  <c r="I7" i="7"/>
  <c r="I6" i="7"/>
  <c r="I5" i="7"/>
  <c r="I4" i="7"/>
  <c r="I3" i="7"/>
  <c r="J12" i="8"/>
  <c r="J11" i="8"/>
  <c r="J10" i="8"/>
  <c r="J9" i="8"/>
  <c r="J8" i="8"/>
  <c r="J7" i="8"/>
  <c r="J6" i="8"/>
  <c r="J5" i="8"/>
  <c r="J4" i="8"/>
  <c r="J3" i="8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L8" i="10"/>
  <c r="L9" i="10"/>
  <c r="L10" i="10"/>
  <c r="L11" i="10"/>
  <c r="L12" i="10"/>
  <c r="L13" i="10"/>
  <c r="L14" i="10"/>
  <c r="L15" i="10"/>
  <c r="L16" i="10"/>
  <c r="L17" i="10"/>
  <c r="L18" i="10"/>
  <c r="T18" i="10" s="1"/>
  <c r="L19" i="10"/>
  <c r="T19" i="10" s="1"/>
  <c r="L20" i="10"/>
  <c r="T20" i="10" s="1"/>
  <c r="L21" i="10"/>
  <c r="T21" i="10" s="1"/>
  <c r="L22" i="10"/>
  <c r="T22" i="10" s="1"/>
  <c r="L23" i="10"/>
  <c r="T23" i="10" s="1"/>
  <c r="L24" i="10"/>
  <c r="T24" i="10" s="1"/>
  <c r="L25" i="10"/>
  <c r="T25" i="10" s="1"/>
  <c r="L26" i="10"/>
  <c r="T26" i="10" s="1"/>
  <c r="L27" i="10"/>
  <c r="T27" i="10" s="1"/>
  <c r="L28" i="10"/>
  <c r="T28" i="10" s="1"/>
  <c r="L29" i="10"/>
  <c r="T29" i="10" s="1"/>
  <c r="L30" i="10"/>
  <c r="T30" i="10" s="1"/>
  <c r="L4" i="10"/>
  <c r="T4" i="10" s="1"/>
  <c r="L5" i="10"/>
  <c r="L6" i="10"/>
  <c r="T6" i="10" s="1"/>
  <c r="L7" i="10"/>
  <c r="T7" i="10" s="1"/>
  <c r="L3" i="10"/>
  <c r="T3" i="10" s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L3" i="12"/>
  <c r="T15" i="10" l="1"/>
  <c r="T11" i="10"/>
  <c r="T14" i="10"/>
  <c r="T10" i="10"/>
  <c r="T13" i="10"/>
  <c r="T9" i="10"/>
  <c r="T5" i="10"/>
  <c r="T16" i="10"/>
  <c r="T12" i="10"/>
  <c r="T8" i="10"/>
  <c r="H2" i="14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O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O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T3" i="13" l="1"/>
  <c r="W3" i="13" l="1"/>
  <c r="V3" i="13"/>
  <c r="U3" i="13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X3" i="13" l="1"/>
  <c r="Y3" i="13" s="1"/>
  <c r="S3" i="13" s="1"/>
  <c r="K5" i="9"/>
  <c r="K3" i="9"/>
  <c r="Q3" i="9" l="1"/>
  <c r="N10" i="8"/>
  <c r="N5" i="8"/>
  <c r="Q5" i="9"/>
  <c r="D6" i="9" l="1"/>
  <c r="R3" i="13" l="1"/>
  <c r="C3" i="13" s="1"/>
  <c r="S16" i="12"/>
  <c r="D16" i="12" s="1"/>
  <c r="S12" i="12"/>
  <c r="D12" i="12" s="1"/>
  <c r="S8" i="12"/>
  <c r="D8" i="12" s="1"/>
  <c r="S7" i="12"/>
  <c r="D7" i="12" s="1"/>
  <c r="S3" i="12"/>
  <c r="D3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D6" i="12" s="1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D3" i="11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N6" i="9"/>
  <c r="N5" i="9"/>
  <c r="N4" i="9"/>
  <c r="M6" i="9"/>
  <c r="L6" i="9" s="1"/>
  <c r="L5" i="9"/>
  <c r="J6" i="9"/>
  <c r="I6" i="9"/>
  <c r="J4" i="9"/>
  <c r="I4" i="9"/>
  <c r="K4" i="9" s="1"/>
  <c r="Q4" i="9" l="1"/>
  <c r="K6" i="9"/>
  <c r="Q6" i="9" s="1"/>
  <c r="A6" i="9" l="1"/>
  <c r="A5" i="9"/>
  <c r="A4" i="9"/>
  <c r="P6" i="9"/>
  <c r="P5" i="9"/>
  <c r="L3" i="9"/>
  <c r="P3" i="9" l="1"/>
  <c r="N3" i="7" l="1"/>
  <c r="D3" i="7" s="1"/>
  <c r="L8" i="7"/>
  <c r="N11" i="1"/>
  <c r="N3" i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C14" i="6"/>
  <c r="B3" i="13"/>
  <c r="B3" i="11"/>
  <c r="B3" i="12"/>
  <c r="B3" i="10"/>
  <c r="B4" i="10" s="1"/>
  <c r="B3" i="7"/>
  <c r="B3" i="1"/>
  <c r="B3" i="8"/>
  <c r="B12" i="8" s="1"/>
  <c r="N8" i="8"/>
  <c r="M8" i="8" s="1"/>
  <c r="B5" i="8"/>
  <c r="B6" i="8"/>
  <c r="B10" i="8"/>
  <c r="B11" i="8"/>
  <c r="B4" i="8"/>
  <c r="B8" i="8"/>
  <c r="H7" i="8"/>
  <c r="B7" i="8" l="1"/>
  <c r="B9" i="8"/>
  <c r="B4" i="11"/>
  <c r="B10" i="11"/>
  <c r="B14" i="11"/>
  <c r="B5" i="11"/>
  <c r="B15" i="11"/>
  <c r="B11" i="11"/>
  <c r="B9" i="11"/>
  <c r="B16" i="11"/>
  <c r="B7" i="11"/>
  <c r="B6" i="11"/>
  <c r="B12" i="11"/>
  <c r="B13" i="11"/>
  <c r="B8" i="11"/>
  <c r="B5" i="12"/>
  <c r="B20" i="12"/>
  <c r="B12" i="12"/>
  <c r="B23" i="12"/>
  <c r="B7" i="12"/>
  <c r="B18" i="12"/>
  <c r="B29" i="12"/>
  <c r="B13" i="12"/>
  <c r="B14" i="12"/>
  <c r="B9" i="12"/>
  <c r="B28" i="12"/>
  <c r="B27" i="12"/>
  <c r="B22" i="12"/>
  <c r="B6" i="12"/>
  <c r="B4" i="12"/>
  <c r="B24" i="12"/>
  <c r="B19" i="12"/>
  <c r="B30" i="12"/>
  <c r="B25" i="12"/>
  <c r="B16" i="12"/>
  <c r="B8" i="12"/>
  <c r="B15" i="12"/>
  <c r="B26" i="12"/>
  <c r="B10" i="12"/>
  <c r="B21" i="12"/>
  <c r="B11" i="12"/>
  <c r="B17" i="12"/>
  <c r="B6" i="9"/>
  <c r="B5" i="9"/>
  <c r="B4" i="9"/>
  <c r="A4" i="13"/>
  <c r="B4" i="13"/>
  <c r="F4" i="13"/>
  <c r="G4" i="13"/>
  <c r="T4" i="13" s="1"/>
  <c r="A5" i="13"/>
  <c r="B5" i="13"/>
  <c r="F5" i="13"/>
  <c r="G5" i="13"/>
  <c r="T5" i="13" s="1"/>
  <c r="A6" i="13"/>
  <c r="B6" i="13"/>
  <c r="F6" i="13"/>
  <c r="G6" i="13"/>
  <c r="T6" i="13" s="1"/>
  <c r="A7" i="13"/>
  <c r="B7" i="13"/>
  <c r="F7" i="13"/>
  <c r="G7" i="13"/>
  <c r="T7" i="13" s="1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L7" i="7"/>
  <c r="L6" i="7"/>
  <c r="L5" i="7"/>
  <c r="L4" i="7"/>
  <c r="U4" i="13" l="1"/>
  <c r="V4" i="13"/>
  <c r="W4" i="13"/>
  <c r="W7" i="13"/>
  <c r="U7" i="13"/>
  <c r="V7" i="13"/>
  <c r="V5" i="13"/>
  <c r="U5" i="13"/>
  <c r="W5" i="13"/>
  <c r="W6" i="13"/>
  <c r="V6" i="13"/>
  <c r="U6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X7" i="13"/>
  <c r="Y7" i="13" s="1"/>
  <c r="X5" i="13"/>
  <c r="Y5" i="13" s="1"/>
  <c r="X6" i="13"/>
  <c r="Y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S6" i="13" l="1"/>
  <c r="R6" i="13" s="1"/>
  <c r="C6" i="13" s="1"/>
  <c r="S7" i="13"/>
  <c r="R7" i="13" s="1"/>
  <c r="C7" i="13" s="1"/>
  <c r="S5" i="13"/>
  <c r="R5" i="13" s="1"/>
  <c r="C5" i="13" s="1"/>
  <c r="S4" i="13"/>
  <c r="R4" i="13" s="1"/>
  <c r="A11" i="1"/>
  <c r="B18" i="1"/>
  <c r="C11" i="1"/>
  <c r="C12" i="1"/>
  <c r="F18" i="1"/>
  <c r="C18" i="1"/>
  <c r="A18" i="1"/>
  <c r="F17" i="1"/>
  <c r="C17" i="1"/>
  <c r="A17" i="1"/>
  <c r="F16" i="1"/>
  <c r="C16" i="1"/>
  <c r="A16" i="1"/>
  <c r="F15" i="1"/>
  <c r="C15" i="1"/>
  <c r="A15" i="1"/>
  <c r="F14" i="1"/>
  <c r="C14" i="1"/>
  <c r="A14" i="1"/>
  <c r="F13" i="1"/>
  <c r="C13" i="1"/>
  <c r="A13" i="1"/>
  <c r="F12" i="1"/>
  <c r="A12" i="1"/>
  <c r="O13" i="1" l="1"/>
  <c r="N13" i="1" s="1"/>
  <c r="O17" i="1"/>
  <c r="N17" i="1" s="1"/>
  <c r="O16" i="1"/>
  <c r="N16" i="1" s="1"/>
  <c r="O15" i="1"/>
  <c r="N15" i="1" s="1"/>
  <c r="O14" i="1"/>
  <c r="N14" i="1" s="1"/>
  <c r="O18" i="1"/>
  <c r="N18" i="1" s="1"/>
  <c r="O12" i="1"/>
  <c r="N12" i="1" s="1"/>
  <c r="C4" i="13"/>
  <c r="C23" i="6"/>
  <c r="B15" i="1"/>
  <c r="B12" i="1"/>
  <c r="B17" i="1"/>
  <c r="B13" i="1"/>
  <c r="B11" i="1"/>
  <c r="B14" i="1"/>
  <c r="B16" i="1"/>
  <c r="C21" i="6" l="1"/>
  <c r="F4" i="1"/>
  <c r="O4" i="1" l="1"/>
  <c r="N4" i="1" s="1"/>
  <c r="N4" i="7"/>
  <c r="D4" i="7" s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D20" i="12" s="1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O8" i="1" s="1"/>
  <c r="F5" i="1"/>
  <c r="F9" i="1"/>
  <c r="F6" i="1"/>
  <c r="F10" i="1"/>
  <c r="F7" i="1"/>
  <c r="O7" i="1" s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N8" i="1"/>
  <c r="O9" i="1"/>
  <c r="N9" i="1" s="1"/>
  <c r="O10" i="1"/>
  <c r="N10" i="1" s="1"/>
  <c r="O6" i="1"/>
  <c r="N6" i="1" s="1"/>
  <c r="N7" i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D20" i="10" s="1"/>
  <c r="S18" i="10"/>
  <c r="D18" i="10" s="1"/>
  <c r="T17" i="10"/>
  <c r="S17" i="10" s="1"/>
  <c r="D17" i="10" s="1"/>
  <c r="S10" i="10"/>
  <c r="D10" i="10" s="1"/>
  <c r="S4" i="10"/>
  <c r="D4" i="10" s="1"/>
  <c r="C16" i="6" l="1"/>
  <c r="S3" i="10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C20" i="6" l="1"/>
  <c r="P4" i="9"/>
  <c r="C19" i="6" l="1"/>
  <c r="C18" i="6"/>
  <c r="O8" i="7" l="1"/>
  <c r="B8" i="7"/>
  <c r="A8" i="7"/>
  <c r="O7" i="7"/>
  <c r="B7" i="7"/>
  <c r="A7" i="7"/>
  <c r="O6" i="7"/>
  <c r="B6" i="7"/>
  <c r="A6" i="7"/>
  <c r="O5" i="7"/>
  <c r="B5" i="7"/>
  <c r="A5" i="7"/>
  <c r="B4" i="7"/>
  <c r="A4" i="7"/>
  <c r="N6" i="7" l="1"/>
  <c r="D6" i="7" s="1"/>
  <c r="N8" i="7"/>
  <c r="D8" i="7" s="1"/>
  <c r="N5" i="7"/>
  <c r="D5" i="7" s="1"/>
  <c r="N7" i="7"/>
  <c r="D7" i="7" s="1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M5" i="4" s="1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17" i="4" l="1"/>
  <c r="M13" i="4"/>
  <c r="M3" i="4"/>
  <c r="H322" i="5" s="1"/>
  <c r="N2" i="4"/>
  <c r="H55" i="5" l="1"/>
  <c r="H231" i="5"/>
  <c r="H27" i="5"/>
  <c r="H91" i="5"/>
  <c r="H155" i="5"/>
  <c r="H219" i="5"/>
  <c r="H283" i="5"/>
  <c r="H183" i="5"/>
  <c r="J183" i="5" s="1"/>
  <c r="H63" i="5"/>
  <c r="H127" i="5"/>
  <c r="H191" i="5"/>
  <c r="H255" i="5"/>
  <c r="J255" i="5" s="1"/>
  <c r="H71" i="5"/>
  <c r="H15" i="5"/>
  <c r="H51" i="5"/>
  <c r="H115" i="5"/>
  <c r="J115" i="5" s="1"/>
  <c r="H179" i="5"/>
  <c r="H243" i="5"/>
  <c r="H299" i="5"/>
  <c r="H8" i="5"/>
  <c r="H24" i="5"/>
  <c r="H40" i="5"/>
  <c r="H56" i="5"/>
  <c r="H72" i="5"/>
  <c r="J72" i="5" s="1"/>
  <c r="H88" i="5"/>
  <c r="H104" i="5"/>
  <c r="H120" i="5"/>
  <c r="H136" i="5"/>
  <c r="J136" i="5" s="1"/>
  <c r="H152" i="5"/>
  <c r="H168" i="5"/>
  <c r="H184" i="5"/>
  <c r="H200" i="5"/>
  <c r="J200" i="5" s="1"/>
  <c r="H216" i="5"/>
  <c r="H232" i="5"/>
  <c r="H248" i="5"/>
  <c r="H264" i="5"/>
  <c r="H280" i="5"/>
  <c r="H296" i="5"/>
  <c r="H312" i="5"/>
  <c r="H295" i="5"/>
  <c r="J295" i="5" s="1"/>
  <c r="H13" i="5"/>
  <c r="H29" i="5"/>
  <c r="H45" i="5"/>
  <c r="H61" i="5"/>
  <c r="J61" i="5" s="1"/>
  <c r="H77" i="5"/>
  <c r="H93" i="5"/>
  <c r="H109" i="5"/>
  <c r="H125" i="5"/>
  <c r="J125" i="5" s="1"/>
  <c r="H141" i="5"/>
  <c r="H157" i="5"/>
  <c r="H173" i="5"/>
  <c r="H189" i="5"/>
  <c r="H205" i="5"/>
  <c r="H221" i="5"/>
  <c r="H237" i="5"/>
  <c r="H253" i="5"/>
  <c r="J253" i="5" s="1"/>
  <c r="H269" i="5"/>
  <c r="H285" i="5"/>
  <c r="H301" i="5"/>
  <c r="H317" i="5"/>
  <c r="J317" i="5" s="1"/>
  <c r="H311" i="5"/>
  <c r="H10" i="5"/>
  <c r="H26" i="5"/>
  <c r="H42" i="5"/>
  <c r="J42" i="5" s="1"/>
  <c r="H58" i="5"/>
  <c r="H74" i="5"/>
  <c r="H90" i="5"/>
  <c r="H106" i="5"/>
  <c r="J106" i="5" s="1"/>
  <c r="H122" i="5"/>
  <c r="H138" i="5"/>
  <c r="H154" i="5"/>
  <c r="H170" i="5"/>
  <c r="J170" i="5" s="1"/>
  <c r="H186" i="5"/>
  <c r="H202" i="5"/>
  <c r="H218" i="5"/>
  <c r="H234" i="5"/>
  <c r="J234" i="5" s="1"/>
  <c r="H250" i="5"/>
  <c r="H266" i="5"/>
  <c r="H282" i="5"/>
  <c r="H298" i="5"/>
  <c r="H314" i="5"/>
  <c r="H103" i="5"/>
  <c r="H263" i="5"/>
  <c r="H43" i="5"/>
  <c r="H107" i="5"/>
  <c r="H171" i="5"/>
  <c r="H235" i="5"/>
  <c r="H39" i="5"/>
  <c r="J39" i="5" s="1"/>
  <c r="H247" i="5"/>
  <c r="H79" i="5"/>
  <c r="H143" i="5"/>
  <c r="H207" i="5"/>
  <c r="J207" i="5" s="1"/>
  <c r="H271" i="5"/>
  <c r="H119" i="5"/>
  <c r="H3" i="5"/>
  <c r="H67" i="5"/>
  <c r="J67" i="5" s="1"/>
  <c r="H131" i="5"/>
  <c r="H195" i="5"/>
  <c r="H259" i="5"/>
  <c r="H307" i="5"/>
  <c r="J307" i="5" s="1"/>
  <c r="H12" i="5"/>
  <c r="H28" i="5"/>
  <c r="H44" i="5"/>
  <c r="H60" i="5"/>
  <c r="J60" i="5" s="1"/>
  <c r="H76" i="5"/>
  <c r="H92" i="5"/>
  <c r="H108" i="5"/>
  <c r="H124" i="5"/>
  <c r="J124" i="5" s="1"/>
  <c r="H140" i="5"/>
  <c r="H156" i="5"/>
  <c r="H172" i="5"/>
  <c r="H188" i="5"/>
  <c r="J188" i="5" s="1"/>
  <c r="H204" i="5"/>
  <c r="H220" i="5"/>
  <c r="H236" i="5"/>
  <c r="H252" i="5"/>
  <c r="H268" i="5"/>
  <c r="H284" i="5"/>
  <c r="H300" i="5"/>
  <c r="H316" i="5"/>
  <c r="J316" i="5" s="1"/>
  <c r="H315" i="5"/>
  <c r="H17" i="5"/>
  <c r="H33" i="5"/>
  <c r="H49" i="5"/>
  <c r="J49" i="5" s="1"/>
  <c r="H65" i="5"/>
  <c r="H81" i="5"/>
  <c r="H97" i="5"/>
  <c r="H113" i="5"/>
  <c r="J113" i="5" s="1"/>
  <c r="H129" i="5"/>
  <c r="H145" i="5"/>
  <c r="H161" i="5"/>
  <c r="H177" i="5"/>
  <c r="J177" i="5" s="1"/>
  <c r="H193" i="5"/>
  <c r="H209" i="5"/>
  <c r="H225" i="5"/>
  <c r="H241" i="5"/>
  <c r="H257" i="5"/>
  <c r="H273" i="5"/>
  <c r="H289" i="5"/>
  <c r="H305" i="5"/>
  <c r="J305" i="5" s="1"/>
  <c r="H321" i="5"/>
  <c r="H319" i="5"/>
  <c r="H14" i="5"/>
  <c r="H30" i="5"/>
  <c r="J30" i="5" s="1"/>
  <c r="H46" i="5"/>
  <c r="H62" i="5"/>
  <c r="H78" i="5"/>
  <c r="H94" i="5"/>
  <c r="J94" i="5" s="1"/>
  <c r="H110" i="5"/>
  <c r="H126" i="5"/>
  <c r="H142" i="5"/>
  <c r="H158" i="5"/>
  <c r="J158" i="5" s="1"/>
  <c r="H174" i="5"/>
  <c r="H190" i="5"/>
  <c r="H206" i="5"/>
  <c r="H222" i="5"/>
  <c r="H238" i="5"/>
  <c r="H254" i="5"/>
  <c r="H270" i="5"/>
  <c r="H286" i="5"/>
  <c r="J286" i="5" s="1"/>
  <c r="H302" i="5"/>
  <c r="H318" i="5"/>
  <c r="H151" i="5"/>
  <c r="H279" i="5"/>
  <c r="J279" i="5" s="1"/>
  <c r="H59" i="5"/>
  <c r="H123" i="5"/>
  <c r="H187" i="5"/>
  <c r="H251" i="5"/>
  <c r="J251" i="5" s="1"/>
  <c r="H87" i="5"/>
  <c r="H31" i="5"/>
  <c r="H95" i="5"/>
  <c r="H159" i="5"/>
  <c r="J159" i="5" s="1"/>
  <c r="H223" i="5"/>
  <c r="H287" i="5"/>
  <c r="H167" i="5"/>
  <c r="H19" i="5"/>
  <c r="H83" i="5"/>
  <c r="H147" i="5"/>
  <c r="H211" i="5"/>
  <c r="H275" i="5"/>
  <c r="J275" i="5" s="1"/>
  <c r="H323" i="5"/>
  <c r="H16" i="5"/>
  <c r="H32" i="5"/>
  <c r="H48" i="5"/>
  <c r="J48" i="5" s="1"/>
  <c r="H64" i="5"/>
  <c r="H80" i="5"/>
  <c r="H96" i="5"/>
  <c r="H112" i="5"/>
  <c r="J112" i="5" s="1"/>
  <c r="H128" i="5"/>
  <c r="H144" i="5"/>
  <c r="H160" i="5"/>
  <c r="H176" i="5"/>
  <c r="H192" i="5"/>
  <c r="H208" i="5"/>
  <c r="H224" i="5"/>
  <c r="H240" i="5"/>
  <c r="J240" i="5" s="1"/>
  <c r="H256" i="5"/>
  <c r="H272" i="5"/>
  <c r="H288" i="5"/>
  <c r="H304" i="5"/>
  <c r="J304" i="5" s="1"/>
  <c r="H320" i="5"/>
  <c r="H2" i="5"/>
  <c r="H21" i="5"/>
  <c r="H37" i="5"/>
  <c r="J37" i="5" s="1"/>
  <c r="H53" i="5"/>
  <c r="H69" i="5"/>
  <c r="H85" i="5"/>
  <c r="H101" i="5"/>
  <c r="H117" i="5"/>
  <c r="H133" i="5"/>
  <c r="H149" i="5"/>
  <c r="H165" i="5"/>
  <c r="J165" i="5" s="1"/>
  <c r="H181" i="5"/>
  <c r="H197" i="5"/>
  <c r="J197" i="5" s="1"/>
  <c r="H213" i="5"/>
  <c r="H229" i="5"/>
  <c r="H245" i="5"/>
  <c r="H261" i="5"/>
  <c r="H277" i="5"/>
  <c r="H293" i="5"/>
  <c r="J293" i="5" s="1"/>
  <c r="H309" i="5"/>
  <c r="H325" i="5"/>
  <c r="H5" i="5"/>
  <c r="H18" i="5"/>
  <c r="H34" i="5"/>
  <c r="H50" i="5"/>
  <c r="H66" i="5"/>
  <c r="H82" i="5"/>
  <c r="J82" i="5" s="1"/>
  <c r="H98" i="5"/>
  <c r="H114" i="5"/>
  <c r="H130" i="5"/>
  <c r="H146" i="5"/>
  <c r="J146" i="5" s="1"/>
  <c r="H162" i="5"/>
  <c r="H178" i="5"/>
  <c r="H194" i="5"/>
  <c r="H210" i="5"/>
  <c r="J210" i="5" s="1"/>
  <c r="H226" i="5"/>
  <c r="J226" i="5" s="1"/>
  <c r="H242" i="5"/>
  <c r="J242" i="5" s="1"/>
  <c r="H258" i="5"/>
  <c r="H274" i="5"/>
  <c r="J274" i="5" s="1"/>
  <c r="H290" i="5"/>
  <c r="H306" i="5"/>
  <c r="J306" i="5" s="1"/>
  <c r="H7" i="5"/>
  <c r="H199" i="5"/>
  <c r="H11" i="5"/>
  <c r="H75" i="5"/>
  <c r="H139" i="5"/>
  <c r="H203" i="5"/>
  <c r="J203" i="5" s="1"/>
  <c r="H267" i="5"/>
  <c r="J267" i="5" s="1"/>
  <c r="H135" i="5"/>
  <c r="H47" i="5"/>
  <c r="H111" i="5"/>
  <c r="J111" i="5" s="1"/>
  <c r="H175" i="5"/>
  <c r="H239" i="5"/>
  <c r="H23" i="5"/>
  <c r="H215" i="5"/>
  <c r="H35" i="5"/>
  <c r="J35" i="5" s="1"/>
  <c r="H99" i="5"/>
  <c r="H163" i="5"/>
  <c r="H227" i="5"/>
  <c r="H291" i="5"/>
  <c r="J291" i="5" s="1"/>
  <c r="H4" i="5"/>
  <c r="H20" i="5"/>
  <c r="H36" i="5"/>
  <c r="J36" i="5" s="1"/>
  <c r="H52" i="5"/>
  <c r="J52" i="5" s="1"/>
  <c r="H68" i="5"/>
  <c r="H84" i="5"/>
  <c r="H100" i="5"/>
  <c r="J100" i="5" s="1"/>
  <c r="H116" i="5"/>
  <c r="H132" i="5"/>
  <c r="H148" i="5"/>
  <c r="H164" i="5"/>
  <c r="H180" i="5"/>
  <c r="H196" i="5"/>
  <c r="H212" i="5"/>
  <c r="H228" i="5"/>
  <c r="J228" i="5" s="1"/>
  <c r="H244" i="5"/>
  <c r="J244" i="5" s="1"/>
  <c r="H260" i="5"/>
  <c r="H276" i="5"/>
  <c r="J276" i="5" s="1"/>
  <c r="H292" i="5"/>
  <c r="H308" i="5"/>
  <c r="J308" i="5" s="1"/>
  <c r="H324" i="5"/>
  <c r="H9" i="5"/>
  <c r="H25" i="5"/>
  <c r="J25" i="5" s="1"/>
  <c r="H41" i="5"/>
  <c r="J41" i="5" s="1"/>
  <c r="H57" i="5"/>
  <c r="H73" i="5"/>
  <c r="H89" i="5"/>
  <c r="J89" i="5" s="1"/>
  <c r="H105" i="5"/>
  <c r="J105" i="5" s="1"/>
  <c r="H121" i="5"/>
  <c r="H137" i="5"/>
  <c r="H153" i="5"/>
  <c r="J153" i="5" s="1"/>
  <c r="H169" i="5"/>
  <c r="H185" i="5"/>
  <c r="H201" i="5"/>
  <c r="H217" i="5"/>
  <c r="H233" i="5"/>
  <c r="J233" i="5" s="1"/>
  <c r="H249" i="5"/>
  <c r="H265" i="5"/>
  <c r="H281" i="5"/>
  <c r="J281" i="5" s="1"/>
  <c r="H297" i="5"/>
  <c r="J297" i="5" s="1"/>
  <c r="H313" i="5"/>
  <c r="H303" i="5"/>
  <c r="H6" i="5"/>
  <c r="J6" i="5" s="1"/>
  <c r="H22" i="5"/>
  <c r="J22" i="5" s="1"/>
  <c r="H38" i="5"/>
  <c r="H54" i="5"/>
  <c r="H70" i="5"/>
  <c r="J70" i="5" s="1"/>
  <c r="H86" i="5"/>
  <c r="J86" i="5" s="1"/>
  <c r="H102" i="5"/>
  <c r="H118" i="5"/>
  <c r="H134" i="5"/>
  <c r="J134" i="5" s="1"/>
  <c r="H150" i="5"/>
  <c r="H166" i="5"/>
  <c r="H182" i="5"/>
  <c r="H198" i="5"/>
  <c r="J198" i="5" s="1"/>
  <c r="H214" i="5"/>
  <c r="H230" i="5"/>
  <c r="H246" i="5"/>
  <c r="J246" i="5" s="1"/>
  <c r="H262" i="5"/>
  <c r="J262" i="5" s="1"/>
  <c r="H278" i="5"/>
  <c r="J278" i="5" s="1"/>
  <c r="H294" i="5"/>
  <c r="H310" i="5"/>
  <c r="H326" i="5"/>
  <c r="J326" i="5" s="1"/>
  <c r="J68" i="5"/>
  <c r="J102" i="5"/>
  <c r="J212" i="5"/>
  <c r="J85" i="5"/>
  <c r="J250" i="5"/>
  <c r="J40" i="5"/>
  <c r="J296" i="5"/>
  <c r="J178" i="5"/>
  <c r="J195" i="5"/>
  <c r="J92" i="5"/>
  <c r="J284" i="5"/>
  <c r="J77" i="5"/>
  <c r="J205" i="5"/>
  <c r="J230" i="5"/>
  <c r="J150" i="5"/>
  <c r="J270" i="5"/>
  <c r="J135" i="5"/>
  <c r="J263" i="5"/>
  <c r="J96" i="5"/>
  <c r="J224" i="5"/>
  <c r="J17" i="5"/>
  <c r="J145" i="5"/>
  <c r="J285" i="5"/>
  <c r="J238" i="5"/>
  <c r="J299" i="5"/>
  <c r="J155" i="5"/>
  <c r="J229" i="5"/>
  <c r="J66" i="5"/>
  <c r="J171" i="5"/>
  <c r="J132" i="5"/>
  <c r="J53" i="5"/>
  <c r="J321" i="5"/>
  <c r="J23" i="5"/>
  <c r="J5" i="5"/>
  <c r="J277" i="5"/>
  <c r="J123" i="5"/>
  <c r="J19" i="5"/>
  <c r="J149" i="5"/>
  <c r="J254" i="5"/>
  <c r="J298" i="5"/>
  <c r="J27" i="5"/>
  <c r="J95" i="5"/>
  <c r="J223" i="5"/>
  <c r="J287" i="5"/>
  <c r="J56" i="5"/>
  <c r="J120" i="5"/>
  <c r="J184" i="5"/>
  <c r="J248" i="5"/>
  <c r="J312" i="5"/>
  <c r="J169" i="5"/>
  <c r="J309" i="5"/>
  <c r="J138" i="5"/>
  <c r="J310" i="5"/>
  <c r="J74" i="5"/>
  <c r="J222" i="5"/>
  <c r="J323" i="5"/>
  <c r="J15" i="5"/>
  <c r="J79" i="5"/>
  <c r="J147" i="5"/>
  <c r="J211" i="5"/>
  <c r="J44" i="5"/>
  <c r="J108" i="5"/>
  <c r="J172" i="5"/>
  <c r="J236" i="5"/>
  <c r="J300" i="5"/>
  <c r="J29" i="5"/>
  <c r="J93" i="5"/>
  <c r="J157" i="5"/>
  <c r="J221" i="5"/>
  <c r="J114" i="5"/>
  <c r="J50" i="5"/>
  <c r="J186" i="5"/>
  <c r="J311" i="5"/>
  <c r="J314" i="5"/>
  <c r="J83" i="5"/>
  <c r="J151" i="5"/>
  <c r="J215" i="5"/>
  <c r="J176" i="5"/>
  <c r="J33" i="5"/>
  <c r="J97" i="5"/>
  <c r="J161" i="5"/>
  <c r="J225" i="5"/>
  <c r="J301" i="5"/>
  <c r="J122" i="5"/>
  <c r="J294" i="5"/>
  <c r="J58" i="5"/>
  <c r="J315" i="5"/>
  <c r="J107" i="5"/>
  <c r="J245" i="5"/>
  <c r="J7" i="5"/>
  <c r="J164" i="5"/>
  <c r="J11" i="5"/>
  <c r="J143" i="5"/>
  <c r="J104" i="5"/>
  <c r="J232" i="5"/>
  <c r="J46" i="5"/>
  <c r="J131" i="5"/>
  <c r="J259" i="5"/>
  <c r="J156" i="5"/>
  <c r="J13" i="5"/>
  <c r="J141" i="5"/>
  <c r="J34" i="5"/>
  <c r="J87" i="5"/>
  <c r="J199" i="5"/>
  <c r="J32" i="5"/>
  <c r="J160" i="5"/>
  <c r="J288" i="5"/>
  <c r="J81" i="5"/>
  <c r="J209" i="5"/>
  <c r="J38" i="5"/>
  <c r="J282" i="5"/>
  <c r="J3" i="5"/>
  <c r="J235" i="5"/>
  <c r="J196" i="5"/>
  <c r="J117" i="5"/>
  <c r="J162" i="5"/>
  <c r="J219" i="5"/>
  <c r="J84" i="5"/>
  <c r="J69" i="5"/>
  <c r="J91" i="5"/>
  <c r="J187" i="5"/>
  <c r="J71" i="5"/>
  <c r="J292" i="5"/>
  <c r="J213" i="5"/>
  <c r="J319" i="5"/>
  <c r="J43" i="5"/>
  <c r="J175" i="5"/>
  <c r="J239" i="5"/>
  <c r="J8" i="5"/>
  <c r="J264" i="5"/>
  <c r="J249" i="5"/>
  <c r="J57" i="5"/>
  <c r="J121" i="5"/>
  <c r="J185" i="5"/>
  <c r="J325" i="5"/>
  <c r="J14" i="5"/>
  <c r="J110" i="5"/>
  <c r="J202" i="5"/>
  <c r="J303" i="5"/>
  <c r="J31" i="5"/>
  <c r="J99" i="5"/>
  <c r="J163" i="5"/>
  <c r="J227" i="5"/>
  <c r="J252" i="5"/>
  <c r="J45" i="5"/>
  <c r="J109" i="5"/>
  <c r="J173" i="5"/>
  <c r="J237" i="5"/>
  <c r="J313" i="5"/>
  <c r="J322" i="5"/>
  <c r="J2" i="5"/>
  <c r="J103" i="5"/>
  <c r="J167" i="5"/>
  <c r="J231" i="5"/>
  <c r="J64" i="5"/>
  <c r="J128" i="5"/>
  <c r="J192" i="5"/>
  <c r="J256" i="5"/>
  <c r="J320" i="5"/>
  <c r="J241" i="5"/>
  <c r="J154" i="5"/>
  <c r="J90" i="5"/>
  <c r="J174" i="5"/>
  <c r="J302" i="5"/>
  <c r="J324" i="5"/>
  <c r="J55" i="5"/>
  <c r="J26" i="5"/>
  <c r="J98" i="5"/>
  <c r="J75" i="5"/>
  <c r="J271" i="5"/>
  <c r="J168" i="5"/>
  <c r="J217" i="5"/>
  <c r="J266" i="5"/>
  <c r="J63" i="5"/>
  <c r="J28" i="5"/>
  <c r="J220" i="5"/>
  <c r="J180" i="5"/>
  <c r="J101" i="5"/>
  <c r="J130" i="5"/>
  <c r="J4" i="5"/>
  <c r="J260" i="5"/>
  <c r="J181" i="5"/>
  <c r="J10" i="5"/>
  <c r="J116" i="5"/>
  <c r="J148" i="5"/>
  <c r="J133" i="5"/>
  <c r="J206" i="5"/>
  <c r="J283" i="5"/>
  <c r="J20" i="5"/>
  <c r="J139" i="5"/>
  <c r="J21" i="5"/>
  <c r="J289" i="5"/>
  <c r="J166" i="5"/>
  <c r="J290" i="5"/>
  <c r="J59" i="5"/>
  <c r="J127" i="5"/>
  <c r="J191" i="5"/>
  <c r="J24" i="5"/>
  <c r="J88" i="5"/>
  <c r="J152" i="5"/>
  <c r="J216" i="5"/>
  <c r="J280" i="5"/>
  <c r="J9" i="5"/>
  <c r="J73" i="5"/>
  <c r="J137" i="5"/>
  <c r="J201" i="5"/>
  <c r="J273" i="5"/>
  <c r="J78" i="5"/>
  <c r="J218" i="5"/>
  <c r="J142" i="5"/>
  <c r="J318" i="5"/>
  <c r="J258" i="5"/>
  <c r="J190" i="5"/>
  <c r="J47" i="5"/>
  <c r="J179" i="5"/>
  <c r="J243" i="5"/>
  <c r="J12" i="5"/>
  <c r="J76" i="5"/>
  <c r="J140" i="5"/>
  <c r="J204" i="5"/>
  <c r="J268" i="5"/>
  <c r="J261" i="5"/>
  <c r="J189" i="5"/>
  <c r="J257" i="5"/>
  <c r="J54" i="5"/>
  <c r="J182" i="5"/>
  <c r="J18" i="5"/>
  <c r="J118" i="5"/>
  <c r="J214" i="5"/>
  <c r="J51" i="5"/>
  <c r="J119" i="5"/>
  <c r="J247" i="5"/>
  <c r="J16" i="5"/>
  <c r="J80" i="5"/>
  <c r="J144" i="5"/>
  <c r="J208" i="5"/>
  <c r="J272" i="5"/>
  <c r="J269" i="5"/>
  <c r="J65" i="5"/>
  <c r="J129" i="5"/>
  <c r="J193" i="5"/>
  <c r="J265" i="5"/>
  <c r="J62" i="5"/>
  <c r="J194" i="5"/>
  <c r="J126" i="5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I2" i="14"/>
  <c r="E4" i="14"/>
  <c r="J11" i="14"/>
  <c r="J5" i="14"/>
  <c r="I3" i="14"/>
  <c r="D2" i="14"/>
  <c r="I11" i="14"/>
  <c r="I10" i="14"/>
  <c r="E2" i="14"/>
  <c r="E5" i="14"/>
  <c r="E9" i="14"/>
  <c r="J14" i="14"/>
  <c r="J15" i="14"/>
  <c r="E11" i="14"/>
  <c r="J2" i="14"/>
  <c r="D9" i="14"/>
  <c r="J12" i="14"/>
  <c r="E15" i="14"/>
  <c r="J4" i="14"/>
  <c r="D3" i="14"/>
  <c r="J9" i="14"/>
  <c r="I8" i="14"/>
  <c r="D11" i="14"/>
  <c r="E14" i="14"/>
  <c r="J7" i="14"/>
  <c r="D5" i="14"/>
  <c r="D4" i="14"/>
  <c r="E12" i="14"/>
  <c r="D6" i="14"/>
  <c r="I15" i="14"/>
  <c r="J10" i="14"/>
  <c r="E7" i="14"/>
  <c r="E3" i="14"/>
  <c r="E6" i="9"/>
  <c r="F3" i="9"/>
  <c r="J8" i="14"/>
  <c r="J3" i="14"/>
  <c r="I9" i="14"/>
  <c r="D14" i="14"/>
  <c r="I12" i="14"/>
  <c r="I6" i="14"/>
  <c r="E6" i="14"/>
  <c r="I14" i="14"/>
  <c r="D7" i="14"/>
  <c r="D8" i="14"/>
  <c r="F6" i="9"/>
  <c r="F5" i="9"/>
  <c r="E5" i="9"/>
  <c r="D15" i="14"/>
  <c r="E10" i="14"/>
  <c r="I5" i="14"/>
  <c r="I4" i="14"/>
  <c r="F4" i="9"/>
  <c r="E8" i="14"/>
  <c r="D12" i="14"/>
  <c r="I7" i="14"/>
  <c r="D10" i="14"/>
  <c r="J6" i="14"/>
  <c r="E3" i="9" l="1"/>
  <c r="E4" i="9"/>
  <c r="L2" i="14"/>
  <c r="L3" i="14" s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E11" i="1" s="1"/>
  <c r="G2" i="14"/>
  <c r="G3" i="14" s="1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3" i="1" s="1"/>
  <c r="F2" i="14"/>
  <c r="K2" i="14"/>
  <c r="K3" i="14" s="1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D11" i="1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D3" i="1" s="1"/>
  <c r="D10" i="1" s="1"/>
  <c r="D8" i="1" l="1"/>
  <c r="D9" i="1"/>
  <c r="D6" i="1"/>
  <c r="D7" i="1"/>
  <c r="D4" i="1"/>
  <c r="D5" i="1"/>
  <c r="E7" i="1"/>
  <c r="E6" i="1"/>
  <c r="E8" i="1"/>
  <c r="E9" i="1"/>
  <c r="E5" i="1"/>
  <c r="E4" i="1"/>
  <c r="E10" i="1"/>
  <c r="E13" i="1"/>
  <c r="E14" i="1"/>
  <c r="E18" i="1"/>
  <c r="E12" i="1"/>
  <c r="E16" i="1"/>
  <c r="E17" i="1"/>
  <c r="E15" i="1"/>
  <c r="D13" i="1"/>
  <c r="D12" i="1"/>
  <c r="D16" i="1"/>
  <c r="D18" i="1"/>
  <c r="D17" i="1"/>
  <c r="D15" i="1"/>
  <c r="D14" i="1"/>
</calcChain>
</file>

<file path=xl/sharedStrings.xml><?xml version="1.0" encoding="utf-8"?>
<sst xmlns="http://schemas.openxmlformats.org/spreadsheetml/2006/main" count="3669" uniqueCount="959">
  <si>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</si>
  <si>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</si>
  <si>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</si>
  <si>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</si>
  <si>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</si>
  <si>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</si>
  <si>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</si>
  <si>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</si>
  <si>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</si>
  <si>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</si>
  <si>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</si>
  <si>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</si>
  <si>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</si>
  <si>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</si>
  <si>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</si>
  <si>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</si>
  <si>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</si>
  <si>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</si>
  <si>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</si>
  <si>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</si>
  <si>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</si>
  <si>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</si>
  <si>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</si>
  <si>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</si>
  <si>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</si>
  <si>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</si>
  <si>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</si>
  <si>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</si>
  <si>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</si>
  <si>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</si>
  <si>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</si>
  <si>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</si>
  <si>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</si>
  <si>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</si>
  <si>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</si>
  <si>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</si>
  <si>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</si>
  <si>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</si>
  <si>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</si>
  <si>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</si>
  <si>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</si>
  <si>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</si>
  <si>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</si>
  <si>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</si>
  <si>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</si>
  <si>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</si>
  <si>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</si>
  <si>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</si>
  <si>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</si>
  <si>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</si>
  <si>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</si>
  <si>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</si>
  <si>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</si>
  <si>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</si>
  <si>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</si>
  <si>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</si>
  <si>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</si>
  <si>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</si>
  <si>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</si>
  <si>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</si>
  <si>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</si>
  <si>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</si>
  <si>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</si>
  <si>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</si>
  <si>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</si>
  <si>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</si>
  <si>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</si>
  <si>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</si>
  <si>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</si>
  <si>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</si>
  <si>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</si>
  <si>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</si>
  <si>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</si>
  <si>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</si>
  <si>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</si>
  <si>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</si>
  <si>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</si>
  <si>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</si>
  <si>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</si>
  <si>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</si>
  <si>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</si>
  <si>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</si>
  <si>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</si>
  <si>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</si>
  <si>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</si>
  <si>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</si>
  <si>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</si>
  <si>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</si>
  <si>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</si>
  <si>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</si>
  <si>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</si>
  <si>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</si>
  <si>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</si>
  <si>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</si>
  <si>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</si>
  <si>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</si>
  <si>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</si>
  <si>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</si>
  <si>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</si>
  <si>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</si>
  <si>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</si>
  <si>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</si>
  <si>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</si>
  <si>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</si>
  <si>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</si>
  <si>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</si>
  <si>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</si>
  <si>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</si>
  <si>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</si>
  <si>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</si>
  <si>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</si>
  <si>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</si>
  <si>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</si>
  <si>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</si>
  <si>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</si>
  <si>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</si>
  <si>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</si>
  <si>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</si>
  <si>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</si>
  <si>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</si>
  <si>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</si>
  <si>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</si>
  <si>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</si>
  <si>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</si>
  <si>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</si>
  <si>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</si>
  <si>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</si>
  <si>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</si>
  <si>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</si>
  <si>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</si>
  <si>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</si>
  <si>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</si>
  <si>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</si>
  <si>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</si>
  <si>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</si>
  <si>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</si>
  <si>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</si>
  <si>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</si>
  <si>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</si>
  <si>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</si>
  <si>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</si>
  <si>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</si>
  <si>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</si>
  <si>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</si>
  <si>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</si>
  <si>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</si>
  <si>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</si>
  <si>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</si>
  <si>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</si>
  <si>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</si>
  <si>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</si>
  <si>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</si>
  <si>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</si>
  <si>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</si>
  <si>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</si>
  <si>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</si>
  <si>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</si>
  <si>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</si>
  <si>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</si>
  <si>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</si>
  <si>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</si>
  <si>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</si>
  <si>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</si>
  <si>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</si>
  <si>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</si>
  <si>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</si>
  <si>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</si>
  <si>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</si>
  <si>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</si>
  <si>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</si>
  <si>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</si>
  <si>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</si>
  <si>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</si>
  <si>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</si>
  <si>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</si>
  <si>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</si>
  <si>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</si>
  <si>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</si>
  <si>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</si>
  <si>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</si>
  <si>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</si>
  <si>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</si>
  <si>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</si>
  <si>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</si>
  <si>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</si>
  <si>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</si>
  <si>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</si>
  <si>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</si>
  <si>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</si>
  <si>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</si>
  <si>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</si>
  <si>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</si>
  <si>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</si>
  <si>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</si>
  <si>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</si>
  <si>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</si>
  <si>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</si>
  <si>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</si>
  <si>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</si>
  <si>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</si>
  <si>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</si>
  <si>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</si>
  <si>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</si>
  <si>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</si>
  <si>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</si>
  <si>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</si>
  <si>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</si>
  <si>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</si>
  <si>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</si>
  <si>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</si>
  <si>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</si>
  <si>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</si>
  <si>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</si>
  <si>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</si>
  <si>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</si>
  <si>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</si>
  <si>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</si>
  <si>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</si>
  <si>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</si>
  <si>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</si>
  <si>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</si>
  <si>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</si>
  <si>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</si>
  <si>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</si>
  <si>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</si>
  <si>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</si>
  <si>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</si>
  <si>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</si>
  <si>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</si>
  <si>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</si>
  <si>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</si>
  <si>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</si>
  <si>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</si>
  <si>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</si>
  <si>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</si>
  <si>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</si>
  <si>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</si>
  <si>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</si>
  <si>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</si>
  <si>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</si>
  <si>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</si>
  <si>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</si>
  <si>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</si>
  <si>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</si>
  <si>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</si>
  <si>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</si>
  <si>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</si>
  <si>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</si>
  <si>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</si>
  <si>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</si>
  <si>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</si>
  <si>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</si>
  <si>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</si>
  <si>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</si>
  <si>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</si>
  <si>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</si>
  <si>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</si>
  <si>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</si>
  <si>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</si>
  <si>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</si>
  <si>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</si>
  <si>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</si>
  <si>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</si>
  <si>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</si>
  <si>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</si>
  <si>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</si>
  <si>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</si>
  <si>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</si>
  <si>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</si>
  <si>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</si>
  <si>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</si>
  <si>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</si>
  <si>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</si>
  <si>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</si>
  <si>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</si>
  <si>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</si>
  <si>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</si>
  <si>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</si>
  <si>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</si>
  <si>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</si>
  <si>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</si>
  <si>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</si>
  <si>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</si>
  <si>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</si>
  <si>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</si>
  <si>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</si>
  <si>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</si>
  <si>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</si>
  <si>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</si>
  <si>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</si>
  <si>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</si>
  <si>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</si>
  <si>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</si>
  <si>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</si>
  <si>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</si>
  <si>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</si>
  <si>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</si>
  <si>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</si>
  <si>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</si>
  <si>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</si>
  <si>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</si>
  <si>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</si>
  <si>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</si>
  <si>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</si>
  <si>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</si>
  <si>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</si>
  <si>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</si>
  <si>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</si>
  <si>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</si>
  <si>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</si>
  <si>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</si>
  <si>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</si>
  <si>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</si>
  <si>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</si>
  <si>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</si>
  <si>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</si>
  <si>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</si>
  <si>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</si>
  <si>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</si>
  <si>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</si>
  <si>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</si>
  <si>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</si>
  <si>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</si>
  <si>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</si>
  <si>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</si>
  <si>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</si>
  <si>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</si>
  <si>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</si>
  <si>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</si>
  <si>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</si>
  <si>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</si>
  <si>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</si>
  <si>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</si>
  <si>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</si>
  <si>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</si>
  <si>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</si>
  <si>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</si>
  <si>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</si>
  <si>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</si>
  <si>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</si>
  <si>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</si>
  <si>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</si>
  <si>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</si>
  <si>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</si>
  <si>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</si>
  <si>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</si>
  <si>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</si>
  <si>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</si>
  <si>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</si>
  <si>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</si>
  <si>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</si>
  <si>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</si>
  <si>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</si>
  <si>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</si>
  <si>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</si>
  <si>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</si>
  <si>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</si>
  <si>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</si>
  <si>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</si>
  <si>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</si>
  <si>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</si>
  <si>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</si>
  <si>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</si>
  <si>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</si>
  <si>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</si>
  <si>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</si>
  <si>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</si>
  <si>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</si>
  <si>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</si>
  <si>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</si>
  <si>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</si>
  <si>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</si>
  <si>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</si>
  <si>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</si>
  <si>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</si>
  <si>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</si>
  <si>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</si>
  <si>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</si>
  <si>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</si>
  <si>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</si>
  <si>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</si>
  <si>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</si>
  <si>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</si>
  <si>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</si>
  <si>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</si>
  <si>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</si>
  <si>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</si>
  <si>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</si>
  <si>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</si>
  <si>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</si>
  <si>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</si>
  <si>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</si>
  <si>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</si>
  <si>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</si>
  <si>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</si>
  <si>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</si>
  <si>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</si>
  <si>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</si>
  <si>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</si>
  <si>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</si>
  <si>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</si>
  <si>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</si>
  <si>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</si>
  <si>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</si>
  <si>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</si>
  <si>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</si>
  <si>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</si>
  <si>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</si>
  <si>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</si>
  <si>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</si>
  <si>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</si>
  <si>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</si>
  <si>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</si>
  <si>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</si>
  <si>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</si>
  <si>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</si>
  <si>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</si>
  <si>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</si>
  <si>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</si>
  <si>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</si>
  <si>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</si>
  <si>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</si>
  <si>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</si>
  <si>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</si>
  <si>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</si>
  <si>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</si>
  <si>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</si>
  <si>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</si>
  <si>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</si>
  <si>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</si>
  <si>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</si>
  <si>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</si>
  <si>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</si>
  <si>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</si>
  <si>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</si>
  <si>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</si>
  <si>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</si>
  <si>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</si>
  <si>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</si>
  <si>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</si>
  <si>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</si>
  <si>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</si>
  <si>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</si>
  <si>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</si>
  <si>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</si>
  <si>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</si>
  <si>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</si>
  <si>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</si>
  <si>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</si>
  <si>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</si>
  <si>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</si>
  <si>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</si>
  <si>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</si>
  <si>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</si>
  <si>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</si>
  <si>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</si>
  <si>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</si>
  <si>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</si>
  <si>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</si>
  <si>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</si>
  <si>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</si>
  <si>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</si>
  <si>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</si>
  <si>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</si>
  <si>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</si>
  <si>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</si>
  <si>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</si>
  <si>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</si>
  <si>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</si>
  <si>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</si>
  <si>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</si>
  <si>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</si>
  <si>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</si>
  <si>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</si>
  <si>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</si>
  <si>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</si>
  <si>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</si>
  <si>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</si>
  <si>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</si>
  <si>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</si>
  <si>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</si>
  <si>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</si>
  <si>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</si>
  <si>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</si>
  <si>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</si>
  <si>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</si>
  <si>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</si>
  <si>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</si>
  <si>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</si>
  <si>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</si>
  <si>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</si>
  <si>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</si>
  <si>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</si>
  <si>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</si>
  <si>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</si>
  <si>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</si>
  <si>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</si>
  <si>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</si>
  <si>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</si>
  <si>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</si>
  <si>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</si>
  <si>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</si>
  <si>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</si>
  <si>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</si>
  <si>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</si>
  <si>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</si>
  <si>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</si>
  <si>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</si>
  <si>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</si>
  <si>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</si>
  <si>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</si>
  <si>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</si>
  <si>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</si>
  <si>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</si>
  <si>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</si>
  <si>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</si>
  <si>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</si>
  <si>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</si>
  <si>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</si>
  <si>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</si>
  <si>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</si>
  <si>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</si>
  <si>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</si>
  <si>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</si>
  <si>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</si>
  <si>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</si>
  <si>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</si>
  <si>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</si>
  <si>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</si>
  <si>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</si>
  <si>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</si>
  <si>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</si>
  <si>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</si>
  <si>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</si>
  <si>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</si>
  <si>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</si>
  <si>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</si>
  <si>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</si>
  <si>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</si>
  <si>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</si>
  <si>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</si>
  <si>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</si>
  <si>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</si>
  <si>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</si>
  <si>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</si>
  <si>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</si>
  <si>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</si>
  <si>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</si>
  <si>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</si>
  <si>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</si>
  <si>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</si>
  <si>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</si>
  <si>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</si>
  <si>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</si>
  <si>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</si>
  <si>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</si>
  <si>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</si>
  <si>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</si>
  <si>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</si>
  <si>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</si>
  <si>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</si>
  <si>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</si>
  <si>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</si>
  <si>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</si>
  <si>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</si>
  <si>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</si>
  <si>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</si>
  <si>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</si>
  <si>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</si>
  <si>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</si>
  <si>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</si>
  <si>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</si>
  <si>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</si>
  <si>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</si>
  <si>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</si>
  <si>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</si>
  <si>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</si>
  <si>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</si>
  <si>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</si>
  <si>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</si>
  <si>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</si>
  <si>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</si>
  <si>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</si>
  <si>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</si>
  <si>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</si>
  <si>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</si>
  <si>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</si>
  <si>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</si>
  <si>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</si>
  <si>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</si>
  <si>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</si>
  <si>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</si>
  <si>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</si>
  <si>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</si>
  <si>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</si>
  <si>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</si>
  <si>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</si>
  <si>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</si>
  <si>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</si>
  <si>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</si>
  <si>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</si>
  <si>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</si>
  <si>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</si>
  <si>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</si>
  <si>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</si>
  <si>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</si>
  <si>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</si>
  <si>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</si>
  <si>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</si>
  <si>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</si>
  <si>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</si>
  <si>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</si>
  <si>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</si>
  <si>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</si>
  <si>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</si>
  <si>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</si>
  <si>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</si>
  <si>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</si>
  <si>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</si>
  <si>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</si>
  <si>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</si>
  <si>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</si>
  <si>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</si>
  <si>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</si>
  <si>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</si>
  <si>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</si>
  <si>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</si>
  <si>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</si>
  <si>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</si>
  <si>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</si>
  <si>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</si>
  <si>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</si>
  <si>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</si>
  <si>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</si>
  <si>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</si>
  <si>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</si>
  <si>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</si>
  <si>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</si>
  <si>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</si>
  <si>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</si>
  <si>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</si>
  <si>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</si>
  <si>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</si>
  <si>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</si>
  <si>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</si>
  <si>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</si>
  <si>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</si>
  <si>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</si>
  <si>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</si>
  <si>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</si>
  <si>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</si>
  <si>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</si>
  <si>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</si>
  <si>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</si>
  <si>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</si>
  <si>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</si>
  <si>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</si>
  <si>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</si>
  <si>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</si>
  <si>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</si>
  <si>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</si>
  <si>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</si>
  <si>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</si>
  <si>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</si>
  <si>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</si>
  <si>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</si>
  <si>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</si>
  <si>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</si>
  <si>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</si>
  <si>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</si>
  <si>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</si>
  <si>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</si>
  <si>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</si>
  <si>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</si>
  <si>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</si>
  <si>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</si>
  <si>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</si>
  <si>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</si>
  <si>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</si>
  <si>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</si>
  <si>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</si>
  <si>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</si>
  <si>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</si>
  <si>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</si>
  <si>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</si>
  <si>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</si>
  <si>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</si>
  <si>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</si>
  <si>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</si>
  <si>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</si>
  <si>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</si>
  <si>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</si>
  <si>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</si>
  <si>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</si>
  <si>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</si>
  <si>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</si>
  <si>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</si>
  <si>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</si>
  <si>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</si>
  <si>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</si>
  <si>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</si>
  <si>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</si>
  <si>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</si>
  <si>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</si>
  <si>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</si>
  <si>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</si>
  <si>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</si>
  <si>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</si>
  <si>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</si>
  <si>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</si>
  <si>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</si>
  <si>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</si>
  <si>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</si>
  <si>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</si>
  <si>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</si>
  <si>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</si>
  <si>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</si>
  <si>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</si>
  <si>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</si>
  <si>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</si>
  <si>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</si>
  <si>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</si>
  <si>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</si>
  <si>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</si>
  <si>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</si>
  <si>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</si>
  <si>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</si>
  <si>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</si>
  <si>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</si>
  <si>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</si>
  <si>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</si>
  <si>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</si>
  <si>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</si>
  <si>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</si>
  <si>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</si>
  <si>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</si>
  <si>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</si>
  <si>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</si>
  <si>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</si>
  <si>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</si>
  <si>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</si>
  <si>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</si>
  <si>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</si>
  <si>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</si>
  <si>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</si>
  <si>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</si>
  <si>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</si>
  <si>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</si>
  <si>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</si>
  <si>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</si>
  <si>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</si>
  <si>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</si>
  <si>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</si>
  <si>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</si>
  <si>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</si>
  <si>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</si>
  <si>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</si>
  <si>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</si>
  <si>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</si>
  <si>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</si>
  <si>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</si>
  <si>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</si>
  <si>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</si>
  <si>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</si>
  <si>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</si>
  <si>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</si>
  <si>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</si>
  <si>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</si>
  <si>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</si>
  <si>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</si>
  <si>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</si>
  <si>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</si>
  <si>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</si>
  <si>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</si>
  <si>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</si>
  <si>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</si>
  <si>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</si>
  <si>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</si>
  <si>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</si>
  <si>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</si>
  <si>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</si>
  <si>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</si>
  <si>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</si>
  <si>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</si>
  <si>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</si>
  <si>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</si>
  <si>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</si>
  <si>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</si>
  <si>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</si>
  <si>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</si>
  <si>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</si>
  <si>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</si>
  <si>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</si>
  <si>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</si>
  <si>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</si>
  <si>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</si>
  <si>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</si>
  <si>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</si>
  <si>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</si>
  <si>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</si>
  <si>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</si>
  <si>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</si>
  <si>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</si>
  <si>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</si>
  <si>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</si>
  <si>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</si>
  <si>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</si>
  <si>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</si>
  <si>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</si>
  <si>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</si>
  <si>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</si>
  <si>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</si>
  <si>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</si>
  <si>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</si>
  <si>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</si>
  <si>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</si>
  <si>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</si>
  <si>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</si>
  <si>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</si>
  <si>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</si>
  <si>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</si>
  <si>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</si>
  <si>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</si>
  <si>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</si>
  <si>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</si>
  <si>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</si>
  <si>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</si>
  <si>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</si>
  <si>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</si>
  <si>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</si>
  <si>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</si>
  <si>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</si>
  <si>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</si>
  <si>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</si>
  <si>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</si>
  <si>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</si>
  <si>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</si>
  <si>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</si>
  <si>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</si>
  <si>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</si>
  <si>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</si>
  <si>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</si>
  <si>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</si>
  <si>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</si>
  <si>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</si>
  <si>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</si>
  <si>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</si>
  <si>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</si>
  <si>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</si>
  <si>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</si>
  <si>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</si>
  <si>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</si>
  <si>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</si>
  <si>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</si>
  <si>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</si>
  <si>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</si>
  <si>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</si>
  <si>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</si>
  <si>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</si>
  <si>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</si>
  <si>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</si>
  <si>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</si>
  <si>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</si>
  <si>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</si>
  <si>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</si>
  <si>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</si>
  <si>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</si>
  <si>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</si>
  <si>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</si>
  <si>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</si>
  <si>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</si>
  <si>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</si>
  <si>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</si>
  <si>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</si>
  <si>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</si>
  <si>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</si>
  <si>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</si>
  <si>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</si>
  <si>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</si>
  <si>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</si>
  <si>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</si>
  <si>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</si>
  <si>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</si>
  <si>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</si>
  <si>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</si>
  <si>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</si>
  <si>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</si>
  <si>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</si>
  <si>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</si>
  <si>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</si>
  <si>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</si>
  <si>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</si>
  <si>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</si>
  <si>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</si>
  <si>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</si>
  <si>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</si>
  <si>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</si>
  <si>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</si>
  <si>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</si>
  <si>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</si>
  <si>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</si>
  <si>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</si>
  <si>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</si>
  <si>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</si>
  <si>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</si>
  <si>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</si>
  <si>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</si>
  <si>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</si>
  <si>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</si>
  <si>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</si>
  <si>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</si>
  <si>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</si>
  <si>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</si>
  <si>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</si>
  <si>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</si>
  <si>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</si>
  <si>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 xml:space="preserve">  |  Πρέπει να συμπληρωθούν υποχρεωτικά ο συνολικός Χρόνος για αποκατάσταση υπολοίπων βλαβών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</si>
  <si>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</si>
  <si>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</si>
  <si>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t>FaultSubmissionInfo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</si>
  <si>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διαφορετική διάταξη αναφοράς να προστεθεί η τιμή "2")</t>
    </r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</si>
  <si>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</si>
  <si>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</si>
  <si>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 xml:space="preserve">(αριθμητική τιμή με 2 δεκαδικά, Αν το κελί γίνει πορτοκαλί υπάρχει </t>
    </r>
    <r>
      <rPr>
        <b/>
        <u/>
        <sz val="9"/>
        <color rgb="FFC00000"/>
        <rFont val="Calibri"/>
        <family val="2"/>
        <charset val="161"/>
        <scheme val="minor"/>
      </rPr>
      <t>πιθανότητα</t>
    </r>
    <r>
      <rPr>
        <b/>
        <sz val="9"/>
        <color rgb="FFC00000"/>
        <rFont val="Calibri"/>
        <family val="2"/>
        <charset val="161"/>
        <scheme val="minor"/>
      </rPr>
      <t xml:space="preserve"> σφάλματος)</t>
    </r>
  </si>
  <si>
    <t>Περιοχές</t>
  </si>
  <si>
    <t>totalareas</t>
  </si>
  <si>
    <t>Ηρακλείου Αττικής</t>
  </si>
  <si>
    <t>WIND</t>
  </si>
  <si>
    <t>TransmitDirection2</t>
  </si>
  <si>
    <r>
      <t xml:space="preserve">Ονομαστική Ταχύτητα
</t>
    </r>
    <r>
      <rPr>
        <b/>
        <sz val="9"/>
        <color rgb="FFC00000"/>
        <rFont val="Calibri"/>
        <family val="2"/>
        <charset val="161"/>
        <scheme val="minor"/>
      </rPr>
      <t>(Λαμβάνεται από τις δύο πρώτες γραμμές της επόμενης στήλης για κάθε πακέτο ονομαστικής ταχύτητας)</t>
    </r>
  </si>
  <si>
    <t>Ονομαστικές
τιμές Upload</t>
  </si>
  <si>
    <t>Ονομαστικές
τιμές Download</t>
  </si>
  <si>
    <t>VODAFONE</t>
  </si>
  <si>
    <t>Μέσω Καταστημάτων : Δευτέρα - Σάββατο : Ωρες λειτουργίας καταστημάτων
Μέσω τηλεφώνου 13888 : Δευτέρα - Κυριακή : 08:00-23:00 (εκτός επίσημων αργιών)</t>
  </si>
  <si>
    <t xml:space="preserve">Μισή εργάσιμη μέρα </t>
  </si>
  <si>
    <t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t>
  </si>
  <si>
    <t>Μισή εργάσιμη μέρα</t>
  </si>
  <si>
    <t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t>
  </si>
  <si>
    <t>ΑΝΑΤΟΛΙΚΗΣ ΜΑΚΕΔΟΝΙΑΣ ΚΑΙ ΘΡΑΚΗΣ - ΚΑΒΑΛΑΣ</t>
  </si>
  <si>
    <t>ΑΤΤΙΚΗΣ - ΑΘΗΝΑΙΩΝ</t>
  </si>
  <si>
    <t>ΘΕΣΣΑΛΙΑΣ - ΛΑΡΙΣΑΙΩΝ</t>
  </si>
  <si>
    <t>ΣΤΕΡΕΑΣ ΕΛΛΑΔΑΣ - ΛΑΜΙΕΩΝ</t>
  </si>
  <si>
    <t>ΠΕΛΟΠΟΝΝΗΣΟΥ - ΤΡΙΠΟΛΗΣ</t>
  </si>
  <si>
    <t>ΙΟΝΙΩΝ ΝΗΣΩΝ - ΚΕΡΚΥΡΑΣ</t>
  </si>
  <si>
    <t>ΚΡΗΤΗΣ - ΗΡΑΚΛΕΙΟΥ</t>
  </si>
  <si>
    <t>ΔΥΤΙΚΗΣ ΕΛΛΑΔΑΣ - ΠΑΤΡΕΩΝ</t>
  </si>
  <si>
    <t>ΔΥΤΙΚΗΣ ΜΑΚΕΔΟΝΙΑΣ - ΓΡΕΒΕΝΩΝ</t>
  </si>
  <si>
    <t>ΗΠΕΙΡΟΥ - ΙΩΑΝΝΙΤΩΝ</t>
  </si>
  <si>
    <t>ΚΕΝΤΡΙΚΗΣ ΜΑΚΕΔΟΝΙΑΣ - ΘΕΣΣΑΛΟΝΙΚΗΣ</t>
  </si>
  <si>
    <t>ΚΕΝΤΡΙΚΗΣ ΜΑΚΕΔΟΝΙΑΣ - ΚΙΛΚΙΣ</t>
  </si>
  <si>
    <t>ΝΟΤΙΟΥ ΑΙΓΑΙΟΥ - ΡΟΔΟΥ</t>
  </si>
  <si>
    <t>ΒΟΡΕΙΟΥ ΑΙΓΑΙΟΥ - ΛΕΣΒΟΥ</t>
  </si>
  <si>
    <t>ΚΕΝΤΡΙΚΗΣ ΜΑΚΕΔΟΝΙΑΣ - ΚΑΤΕΡΙΝΗΣ</t>
  </si>
  <si>
    <t>Οι ονομαστικές ταχύτητες του πακέτου 1 δε μετρήθηκαν στα κέντρα Λάρισας, Λέσβου</t>
  </si>
  <si>
    <t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t>
  </si>
  <si>
    <t>Εθνικές κλήσεις προς: ΟΤΕ Αθήνα, ΟΤΕ Θεσσαλονίκη, ΟΤΕ Χανιά, ΟΤΕ Ηγουμενίτσα, Forthnet Αθήνα, Forthnet Θεσσαλονίκη, Tellas Αθήνα, Tellas Θεσσαλονίκη, Cosmote, Vodafone</t>
  </si>
  <si>
    <t>_</t>
  </si>
  <si>
    <t>Δεν έχουν υπάρξει αλλαγές σε σχέση με το προηγούμενο εξάμηνο. Δεν υφίσταται κάποιος περιορισμός.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</si>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</sst>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u/>
      <sz val="9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0" fillId="3" borderId="19" xfId="0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3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5" xfId="0" applyNumberFormat="1" applyFont="1" applyFill="1" applyBorder="1" applyAlignment="1">
      <alignment horizontal="left" vertical="top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9" xfId="0" applyFill="1" applyBorder="1"/>
    <xf numFmtId="0" fontId="3" fillId="3" borderId="41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45" xfId="0" applyFont="1" applyFill="1" applyBorder="1" applyAlignment="1">
      <alignment horizontal="center" vertical="top"/>
    </xf>
    <xf numFmtId="0" fontId="3" fillId="3" borderId="46" xfId="0" applyFont="1" applyFill="1" applyBorder="1" applyAlignment="1">
      <alignment horizontal="left" vertical="top"/>
    </xf>
    <xf numFmtId="0" fontId="0" fillId="3" borderId="41" xfId="0" applyFill="1" applyBorder="1" applyAlignment="1">
      <alignment horizontal="left" vertical="top" wrapText="1"/>
    </xf>
    <xf numFmtId="0" fontId="0" fillId="0" borderId="44" xfId="0" applyFill="1" applyBorder="1"/>
    <xf numFmtId="0" fontId="0" fillId="3" borderId="47" xfId="0" applyFill="1" applyBorder="1" applyAlignment="1">
      <alignment horizontal="center" vertical="top"/>
    </xf>
    <xf numFmtId="0" fontId="0" fillId="3" borderId="39" xfId="0" applyFill="1" applyBorder="1" applyAlignment="1">
      <alignment horizontal="left" vertical="top"/>
    </xf>
    <xf numFmtId="0" fontId="3" fillId="3" borderId="48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top"/>
    </xf>
    <xf numFmtId="0" fontId="0" fillId="3" borderId="46" xfId="0" applyFill="1" applyBorder="1" applyAlignment="1">
      <alignment horizontal="left" vertical="top" wrapText="1"/>
    </xf>
    <xf numFmtId="0" fontId="0" fillId="0" borderId="49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3" fillId="3" borderId="47" xfId="0" applyFont="1" applyFill="1" applyBorder="1" applyAlignment="1">
      <alignment horizontal="center" vertical="top"/>
    </xf>
    <xf numFmtId="0" fontId="0" fillId="3" borderId="52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top"/>
    </xf>
    <xf numFmtId="0" fontId="0" fillId="0" borderId="39" xfId="0" applyBorder="1" applyAlignment="1" applyProtection="1">
      <alignment horizontal="center" vertical="top"/>
      <protection locked="0"/>
    </xf>
    <xf numFmtId="0" fontId="2" fillId="2" borderId="50" xfId="0" applyFont="1" applyFill="1" applyBorder="1" applyAlignment="1">
      <alignment vertical="top" wrapText="1"/>
    </xf>
    <xf numFmtId="2" fontId="0" fillId="0" borderId="39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2" fontId="0" fillId="3" borderId="56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59" xfId="0" applyFont="1" applyFill="1" applyBorder="1" applyAlignment="1">
      <alignment vertical="top" wrapText="1"/>
    </xf>
    <xf numFmtId="0" fontId="0" fillId="3" borderId="3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top" wrapText="1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2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center" vertical="top"/>
    </xf>
    <xf numFmtId="2" fontId="3" fillId="3" borderId="39" xfId="0" applyNumberFormat="1" applyFont="1" applyFill="1" applyBorder="1" applyAlignment="1" applyProtection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6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0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4" fontId="0" fillId="0" borderId="8" xfId="0" applyNumberForma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left" vertical="top" wrapText="1"/>
      <protection locked="0"/>
    </xf>
    <xf numFmtId="4" fontId="0" fillId="0" borderId="15" xfId="0" applyNumberFormat="1" applyFill="1" applyBorder="1" applyAlignment="1" applyProtection="1">
      <alignment horizontal="left" vertical="top" wrapText="1"/>
      <protection locked="0"/>
    </xf>
    <xf numFmtId="4" fontId="0" fillId="0" borderId="3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7" fillId="7" borderId="0" xfId="0" applyFont="1" applyFill="1" applyBorder="1"/>
    <xf numFmtId="0" fontId="6" fillId="7" borderId="0" xfId="0" applyFont="1" applyFill="1" applyBorder="1" applyAlignment="1">
      <alignment vertical="top" wrapText="1"/>
    </xf>
    <xf numFmtId="3" fontId="7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0" borderId="20" xfId="0" applyNumberFormat="1" applyFill="1" applyBorder="1" applyAlignment="1" applyProtection="1">
      <alignment horizontal="left" vertical="top" wrapText="1"/>
      <protection locked="0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8" fillId="7" borderId="0" xfId="0" applyFont="1" applyFill="1"/>
    <xf numFmtId="0" fontId="0" fillId="0" borderId="55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8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3" fillId="3" borderId="0" xfId="0" applyNumberFormat="1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49" fontId="3" fillId="3" borderId="37" xfId="0" applyNumberFormat="1" applyFont="1" applyFill="1" applyBorder="1" applyAlignment="1">
      <alignment wrapText="1"/>
    </xf>
    <xf numFmtId="49" fontId="3" fillId="3" borderId="38" xfId="0" applyNumberFormat="1" applyFont="1" applyFill="1" applyBorder="1" applyAlignment="1">
      <alignment wrapText="1"/>
    </xf>
    <xf numFmtId="49" fontId="3" fillId="3" borderId="20" xfId="0" applyNumberFormat="1" applyFont="1" applyFill="1" applyBorder="1" applyAlignment="1">
      <alignment wrapText="1"/>
    </xf>
    <xf numFmtId="3" fontId="0" fillId="0" borderId="37" xfId="0" applyNumberFormat="1" applyFill="1" applyBorder="1" applyAlignment="1" applyProtection="1">
      <alignment horizontal="left" vertical="top" wrapText="1"/>
      <protection locked="0"/>
    </xf>
    <xf numFmtId="3" fontId="3" fillId="3" borderId="54" xfId="0" applyNumberFormat="1" applyFont="1" applyFill="1" applyBorder="1" applyAlignment="1">
      <alignment horizontal="left" vertical="top" wrapText="1"/>
    </xf>
    <xf numFmtId="3" fontId="3" fillId="3" borderId="55" xfId="0" applyNumberFormat="1" applyFont="1" applyFill="1" applyBorder="1" applyAlignment="1">
      <alignment horizontal="left" vertical="top" wrapText="1"/>
    </xf>
    <xf numFmtId="3" fontId="3" fillId="3" borderId="56" xfId="0" applyNumberFormat="1" applyFont="1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49" fontId="0" fillId="0" borderId="40" xfId="0" applyNumberFormat="1" applyFill="1" applyBorder="1" applyAlignment="1" applyProtection="1">
      <alignment horizontal="left" vertical="top" wrapText="1"/>
      <protection locked="0"/>
    </xf>
    <xf numFmtId="3" fontId="3" fillId="3" borderId="20" xfId="0" applyNumberFormat="1" applyFont="1" applyFill="1" applyBorder="1" applyAlignment="1">
      <alignment horizontal="left" vertical="top" wrapText="1"/>
    </xf>
    <xf numFmtId="3" fontId="3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0" borderId="9" xfId="0" applyNumberFormat="1" applyFill="1" applyBorder="1" applyAlignment="1" applyProtection="1">
      <alignment horizontal="left" vertical="top" wrapText="1"/>
      <protection locked="0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49" fontId="0" fillId="0" borderId="36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2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2" fontId="3" fillId="3" borderId="28" xfId="0" applyNumberFormat="1" applyFont="1" applyFill="1" applyBorder="1" applyAlignment="1">
      <alignment wrapText="1"/>
    </xf>
    <xf numFmtId="2" fontId="3" fillId="3" borderId="0" xfId="0" applyNumberFormat="1" applyFont="1" applyFill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3" fillId="3" borderId="21" xfId="0" applyNumberFormat="1" applyFont="1" applyFill="1" applyBorder="1" applyAlignment="1">
      <alignment wrapText="1"/>
    </xf>
    <xf numFmtId="2" fontId="3" fillId="3" borderId="22" xfId="0" applyNumberFormat="1" applyFont="1" applyFill="1" applyBorder="1" applyAlignment="1">
      <alignment wrapText="1"/>
    </xf>
    <xf numFmtId="0" fontId="0" fillId="0" borderId="55" xfId="0" applyFill="1" applyBorder="1" applyAlignment="1" applyProtection="1">
      <alignment horizontal="left" vertical="top" wrapText="1"/>
      <protection locked="0"/>
    </xf>
    <xf numFmtId="0" fontId="3" fillId="3" borderId="55" xfId="0" applyFont="1" applyFill="1" applyBorder="1" applyAlignment="1" applyProtection="1">
      <alignment horizontal="left" vertical="top" wrapText="1"/>
    </xf>
    <xf numFmtId="0" fontId="3" fillId="3" borderId="56" xfId="0" applyFont="1" applyFill="1" applyBorder="1" applyAlignment="1" applyProtection="1">
      <alignment horizontal="left" vertical="top" wrapText="1"/>
    </xf>
    <xf numFmtId="2" fontId="0" fillId="3" borderId="8" xfId="0" applyNumberFormat="1" applyFill="1" applyBorder="1" applyAlignment="1">
      <alignment horizontal="right" vertical="top" wrapText="1"/>
    </xf>
    <xf numFmtId="1" fontId="3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4" fillId="7" borderId="0" xfId="0" applyFont="1" applyFill="1"/>
    <xf numFmtId="0" fontId="10" fillId="7" borderId="0" xfId="0" applyFont="1" applyFill="1"/>
    <xf numFmtId="0" fontId="4" fillId="3" borderId="34" xfId="0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3" borderId="51" xfId="0" applyFont="1" applyFill="1" applyBorder="1" applyAlignment="1">
      <alignment horizontal="left" vertical="top" wrapText="1"/>
    </xf>
    <xf numFmtId="0" fontId="0" fillId="3" borderId="44" xfId="0" applyFont="1" applyFill="1" applyBorder="1" applyAlignment="1">
      <alignment horizontal="left" vertical="top" wrapText="1"/>
    </xf>
    <xf numFmtId="0" fontId="0" fillId="3" borderId="43" xfId="0" applyFont="1" applyFill="1" applyBorder="1" applyAlignment="1">
      <alignment horizontal="left" vertical="top" wrapText="1"/>
    </xf>
    <xf numFmtId="2" fontId="0" fillId="3" borderId="8" xfId="0" applyNumberFormat="1" applyFont="1" applyFill="1" applyBorder="1" applyAlignment="1" applyProtection="1">
      <alignment horizontal="left" vertical="top"/>
    </xf>
    <xf numFmtId="0" fontId="0" fillId="3" borderId="0" xfId="0" applyFill="1" applyAlignment="1" applyProtection="1"/>
    <xf numFmtId="2" fontId="4" fillId="3" borderId="1" xfId="0" applyNumberFormat="1" applyFont="1" applyFill="1" applyBorder="1" applyAlignment="1" applyProtection="1">
      <alignment horizontal="left" vertical="top"/>
    </xf>
    <xf numFmtId="2" fontId="0" fillId="3" borderId="1" xfId="0" applyNumberFormat="1" applyFont="1" applyFill="1" applyBorder="1" applyAlignment="1" applyProtection="1">
      <alignment horizontal="left" vertical="top"/>
    </xf>
    <xf numFmtId="2" fontId="4" fillId="3" borderId="5" xfId="0" applyNumberFormat="1" applyFont="1" applyFill="1" applyBorder="1" applyAlignment="1" applyProtection="1">
      <alignment horizontal="left" vertical="top"/>
    </xf>
    <xf numFmtId="2" fontId="0" fillId="0" borderId="0" xfId="0" applyNumberFormat="1"/>
    <xf numFmtId="1" fontId="0" fillId="0" borderId="14" xfId="0" applyNumberFormat="1" applyBorder="1" applyAlignment="1">
      <alignment horizontal="left" vertical="top"/>
    </xf>
    <xf numFmtId="1" fontId="0" fillId="3" borderId="65" xfId="0" applyNumberFormat="1" applyFill="1" applyBorder="1" applyAlignment="1">
      <alignment horizontal="left" vertical="top" wrapText="1"/>
    </xf>
    <xf numFmtId="1" fontId="0" fillId="3" borderId="9" xfId="0" applyNumberForma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 wrapText="1"/>
    </xf>
    <xf numFmtId="1" fontId="0" fillId="7" borderId="66" xfId="0" applyNumberFormat="1" applyFill="1" applyBorder="1"/>
    <xf numFmtId="1" fontId="0" fillId="7" borderId="0" xfId="0" applyNumberFormat="1" applyFill="1"/>
    <xf numFmtId="2" fontId="0" fillId="7" borderId="0" xfId="0" applyNumberFormat="1" applyFill="1"/>
    <xf numFmtId="1" fontId="0" fillId="3" borderId="14" xfId="0" applyNumberFormat="1" applyFill="1" applyBorder="1" applyAlignment="1" applyProtection="1">
      <alignment horizontal="left" vertical="top" wrapText="1"/>
    </xf>
    <xf numFmtId="1" fontId="0" fillId="3" borderId="8" xfId="0" applyNumberFormat="1" applyFill="1" applyBorder="1" applyAlignment="1" applyProtection="1">
      <alignment horizontal="left" vertical="top" wrapText="1"/>
    </xf>
  </cellXfs>
  <cellStyles count="1">
    <cellStyle name="Κανονικό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/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/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/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/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/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/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/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/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3"/>
  <sheetViews>
    <sheetView tabSelected="1" workbookViewId="0">
      <selection activeCell="C11" sqref="C11"/>
    </sheetView>
  </sheetViews>
  <sheetFormatPr defaultRowHeight="15" x14ac:dyDescent="0.25"/>
  <cols>
    <col min="1" max="1" width="41" style="173" customWidth="1"/>
    <col min="2" max="2" width="14.85546875" style="173" customWidth="1"/>
    <col min="3" max="3" width="58.7109375" style="173" customWidth="1"/>
    <col min="4" max="4" width="19.42578125" style="173" customWidth="1"/>
    <col min="5" max="16384" width="9.140625" style="173"/>
  </cols>
  <sheetData>
    <row r="1" spans="1:5" x14ac:dyDescent="0.25">
      <c r="A1" s="176"/>
      <c r="B1" s="176"/>
      <c r="C1" s="9" t="s">
        <v>28</v>
      </c>
    </row>
    <row r="2" spans="1:5" ht="22.5" customHeight="1" x14ac:dyDescent="0.25">
      <c r="A2" s="9" t="s">
        <v>28</v>
      </c>
      <c r="B2" s="9"/>
      <c r="C2" s="87" t="s">
        <v>31</v>
      </c>
    </row>
    <row r="3" spans="1:5" ht="22.5" customHeight="1" x14ac:dyDescent="0.25">
      <c r="A3" s="9" t="s">
        <v>548</v>
      </c>
      <c r="B3" s="9"/>
      <c r="C3" s="87"/>
    </row>
    <row r="4" spans="1:5" ht="22.5" hidden="1" customHeight="1" x14ac:dyDescent="0.25">
      <c r="A4" s="9" t="s">
        <v>28</v>
      </c>
      <c r="B4" s="9"/>
      <c r="C4" s="88" t="str">
        <f>IF(C2="",TEXT(C3,),C2)</f>
        <v>OTE</v>
      </c>
    </row>
    <row r="5" spans="1:5" ht="22.5" customHeight="1" x14ac:dyDescent="0.25">
      <c r="A5" s="9" t="s">
        <v>0</v>
      </c>
      <c r="B5" s="9"/>
      <c r="C5" s="87" t="s">
        <v>24</v>
      </c>
    </row>
    <row r="6" spans="1:5" ht="22.5" customHeight="1" x14ac:dyDescent="0.25">
      <c r="A6" s="9" t="s">
        <v>1</v>
      </c>
      <c r="B6" s="9"/>
      <c r="C6" s="170">
        <v>2018</v>
      </c>
    </row>
    <row r="7" spans="1:5" ht="22.5" customHeight="1" x14ac:dyDescent="0.25">
      <c r="A7" s="9" t="s">
        <v>449</v>
      </c>
      <c r="B7" s="9"/>
      <c r="C7" s="171">
        <v>43101</v>
      </c>
    </row>
    <row r="8" spans="1:5" ht="22.5" customHeight="1" x14ac:dyDescent="0.25">
      <c r="A8" s="9" t="s">
        <v>450</v>
      </c>
      <c r="B8" s="9"/>
      <c r="C8" s="171">
        <v>43281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/>
      </c>
    </row>
    <row r="11" spans="1:5" ht="67.5" customHeight="1" x14ac:dyDescent="0.25">
      <c r="A11" s="9" t="s">
        <v>421</v>
      </c>
      <c r="B11" s="9"/>
      <c r="C11" s="286"/>
    </row>
    <row r="13" spans="1:5" ht="15.75" thickBot="1" x14ac:dyDescent="0.3"/>
    <row r="14" spans="1:5" ht="31.5" customHeight="1" thickBot="1" x14ac:dyDescent="0.3">
      <c r="A14" s="32" t="s">
        <v>918</v>
      </c>
      <c r="B14" s="50"/>
      <c r="C14" s="51" t="str">
        <f>IF(OR(C5="",C4="",C6="",C7="",C8=""),"ΤΑ ΣΤΟΙΧΕΙΑ ΔΕΝ ΕΙΝΑΙ ΠΛΗΡΗ","ΤΑ ΣΤΟΙΧΕΙΑ ΕΙΝΑΙ ΠΛΗΡΗ")</f>
        <v>ΤΑ ΣΤΟΙΧΕΙΑ ΕΙΝΑΙ ΠΛΗΡΗ</v>
      </c>
      <c r="E14" s="174"/>
    </row>
    <row r="15" spans="1:5" ht="31.5" customHeight="1" thickBot="1" x14ac:dyDescent="0.3">
      <c r="A15" s="177"/>
      <c r="B15" s="52" t="s">
        <v>487</v>
      </c>
      <c r="C15" s="51" t="str">
        <f>CONCATENATE(IF($B$16="ΝΑΙ",COUNTIF('B01'!N:N,"ΣΦΑΛΜΑ"),0)+IF(B17="ΝΑΙ",COUNTIF('B02'!N:N,"ΣΦΑΛΜΑ"),0)+COUNTIF('B03'!M:M,"ΣΦΑΛΜΑ")+COUNTIF('B04'!P:P,"ΣΦΑΛΜΑ")+COUNTIF('B05'!S:S,"ΣΦΑΛΜΑ")+COUNTIF('B06'!O:O,"ΣΦΑΛΜΑ")++COUNTIF('B07'!S:S,"ΣΦΑΛΜΑ")+COUNTIF('B08'!R:R,"ΣΦΑΛΜΑ")," ΣΦΑΛΜΑΤΑ")</f>
        <v>5 ΣΦΑΛΜΑΤΑ</v>
      </c>
    </row>
    <row r="16" spans="1:5" ht="15.75" thickBot="1" x14ac:dyDescent="0.3">
      <c r="A16" s="32" t="s">
        <v>486</v>
      </c>
      <c r="B16" s="172" t="s">
        <v>419</v>
      </c>
      <c r="C16" s="51" t="str">
        <f>IF(OR(B16="ΟΧΙ",COUNTIF('B01'!N:N,"ΣΦΑΛΜΑ")=0),"ΤΑ ΣΤΟΙΧΕΙΑ ΕΙΝΑΙ ΟΡΘΑ","ΥΠΑΡΧΟΥΝ ΛΑΘΗ")</f>
        <v>ΤΑ ΣΤΟΙΧΕΙΑ ΕΙΝΑΙ ΟΡΘΑ</v>
      </c>
      <c r="D16" s="175"/>
    </row>
    <row r="17" spans="1:3" ht="15.75" thickBot="1" x14ac:dyDescent="0.3">
      <c r="A17" s="32" t="s">
        <v>488</v>
      </c>
      <c r="B17" s="172" t="s">
        <v>419</v>
      </c>
      <c r="C17" s="51" t="str">
        <f>IF(OR(B17="ΟΧΙ",COUNTIF('B02'!N:N,"ΣΦΑΛΜΑ")=0),"ΤΑ ΣΤΟΙΧΕΙΑ ΕΙΝΑΙ ΟΡΘΑ","ΥΠΑΡΧΟΥΝ ΛΑΘΗ")</f>
        <v>ΤΑ ΣΤΟΙΧΕΙΑ ΕΙΝΑΙ ΟΡΘΑ</v>
      </c>
    </row>
    <row r="18" spans="1:3" ht="15.75" thickBot="1" x14ac:dyDescent="0.3">
      <c r="A18" s="32" t="s">
        <v>489</v>
      </c>
      <c r="B18" s="172" t="s">
        <v>419</v>
      </c>
      <c r="C18" s="51" t="str">
        <f>IF(OR(B18="ΟΧΙ",COUNTIF('B03'!M:M,"ΣΦΑΛΜΑ")=0),"ΤΑ ΣΤΟΙΧΕΙΑ ΕΙΝΑΙ ΟΡΘΑ","ΥΠΑΡΧΟΥΝ ΛΑΘΗ")</f>
        <v>ΥΠΑΡΧΟΥΝ ΛΑΘΗ</v>
      </c>
    </row>
    <row r="19" spans="1:3" ht="15.75" thickBot="1" x14ac:dyDescent="0.3">
      <c r="A19" s="32" t="s">
        <v>490</v>
      </c>
      <c r="B19" s="172" t="s">
        <v>419</v>
      </c>
      <c r="C19" s="51" t="str">
        <f>IF(OR(B19="ΟΧΙ",COUNTIF('B04'!P:P,"ΣΦΑΛΜΑ")=0),"ΤΑ ΣΤΟΙΧΕΙΑ ΕΙΝΑΙ ΟΡΘΑ","ΥΠΑΡΧΟΥΝ ΛΑΘΗ")</f>
        <v>ΤΑ ΣΤΟΙΧΕΙΑ ΕΙΝΑΙ ΟΡΘΑ</v>
      </c>
    </row>
    <row r="20" spans="1:3" ht="15.75" thickBot="1" x14ac:dyDescent="0.3">
      <c r="A20" s="32" t="s">
        <v>491</v>
      </c>
      <c r="B20" s="172" t="s">
        <v>419</v>
      </c>
      <c r="C20" s="51" t="str">
        <f>IF(OR(B20="ΟΧΙ",COUNTIF('B05'!S:S,"ΣΦΑΛΜΑ")=0),"ΤΑ ΣΤΟΙΧΕΙΑ ΕΙΝΑΙ ΟΡΘΑ","ΥΠΑΡΧΟΥΝ ΛΑΘΗ")</f>
        <v>ΤΑ ΣΤΟΙΧΕΙΑ ΕΙΝΑΙ ΟΡΘΑ</v>
      </c>
    </row>
    <row r="21" spans="1:3" ht="15.75" thickBot="1" x14ac:dyDescent="0.3">
      <c r="A21" s="32" t="s">
        <v>492</v>
      </c>
      <c r="B21" s="172" t="s">
        <v>419</v>
      </c>
      <c r="C21" s="51" t="str">
        <f>IF(OR(B21="ΟΧΙ",COUNTIF('B06'!O:O,"ΣΦΑΛΜΑ")=0),"ΤΑ ΣΤΟΙΧΕΙΑ ΕΙΝΑΙ ΟΡΘΑ","ΥΠΑΡΧΟΥΝ ΛΑΘΗ")</f>
        <v>ΤΑ ΣΤΟΙΧΕΙΑ ΕΙΝΑΙ ΟΡΘΑ</v>
      </c>
    </row>
    <row r="22" spans="1:3" ht="15.75" thickBot="1" x14ac:dyDescent="0.3">
      <c r="A22" s="32" t="s">
        <v>493</v>
      </c>
      <c r="B22" s="172" t="s">
        <v>419</v>
      </c>
      <c r="C22" s="51" t="str">
        <f>IF(OR(B21="ΟΧΙ",COUNTIF('B07'!S:S,"ΣΦΑΛΜΑ")=0),"ΤΑ ΣΤΟΙΧΕΙΑ ΕΙΝΑΙ ΟΡΘΑ","ΥΠΑΡΧΟΥΝ ΛΑΘΗ")</f>
        <v>ΤΑ ΣΤΟΙΧΕΙΑ ΕΙΝΑΙ ΟΡΘΑ</v>
      </c>
    </row>
    <row r="23" spans="1:3" ht="15.75" thickBot="1" x14ac:dyDescent="0.3">
      <c r="A23" s="32" t="s">
        <v>494</v>
      </c>
      <c r="B23" s="172" t="s">
        <v>419</v>
      </c>
      <c r="C23" s="51" t="str">
        <f>IF(OR(B23="ΟΧΙ",COUNTIF('B08'!R:R,"ΣΦΑΛΜΑ")=0),"ΤΑ ΣΤΟΙΧΕΙΑ ΕΙΝΑΙ ΟΡΘΑ","ΥΠΑΡΧΟΥΝ ΛΑΘΗ")</f>
        <v>ΤΑ ΣΤΟΙΧΕΙΑ ΕΙΝΑΙ ΟΡΘΑ</v>
      </c>
    </row>
  </sheetData>
  <sheetProtection algorithmName="SHA-512" hashValue="yi7nXM0LAcw8Rw32XnppahXTuSTBwkv+IaaL8O7DAvNCL4KaeuD23alAaMdhILqqB7QL+STZvA2q/MTbZlNFGg==" saltValue="2wemTMf18Z+fbmOz8o3d4g==" spinCount="100000" sheet="1" objects="1" scenarios="1" selectLockedCells="1"/>
  <conditionalFormatting sqref="C14:C15">
    <cfRule type="cellIs" dxfId="39" priority="19" operator="equal">
      <formula>"ΤΑ ΣΤΟΙΧΕΙΑ ΕΙΝΑΙ ΠΛΗΡΗ"</formula>
    </cfRule>
    <cfRule type="cellIs" dxfId="38" priority="20" operator="equal">
      <formula>"ΤΑ ΣΤΟΙΧΕΙΑ ΔΕΝ ΕΙΝΑΙ ΠΛΗΡΗ"</formula>
    </cfRule>
  </conditionalFormatting>
  <conditionalFormatting sqref="C16">
    <cfRule type="cellIs" dxfId="37" priority="17" operator="equal">
      <formula>"ΤΑ ΣΤΟΙΧΕΙΑ ΕΙΝΑΙ ΟΡΘΑ"</formula>
    </cfRule>
    <cfRule type="cellIs" dxfId="36" priority="18" operator="equal">
      <formula>"ΥΠΑΡΧΟΥΝ ΛΑΘΗ"</formula>
    </cfRule>
  </conditionalFormatting>
  <conditionalFormatting sqref="C23">
    <cfRule type="cellIs" dxfId="35" priority="1" operator="equal">
      <formula>"ΤΑ ΣΤΟΙΧΕΙΑ ΕΙΝΑΙ ΟΡΘΑ"</formula>
    </cfRule>
    <cfRule type="cellIs" dxfId="34" priority="2" operator="equal">
      <formula>"ΥΠΑΡΧΟΥΝ ΛΑΘΗ"</formula>
    </cfRule>
  </conditionalFormatting>
  <conditionalFormatting sqref="C17">
    <cfRule type="cellIs" dxfId="33" priority="13" operator="equal">
      <formula>"ΤΑ ΣΤΟΙΧΕΙΑ ΕΙΝΑΙ ΟΡΘΑ"</formula>
    </cfRule>
    <cfRule type="cellIs" dxfId="32" priority="14" operator="equal">
      <formula>"ΥΠΑΡΧΟΥΝ ΛΑΘΗ"</formula>
    </cfRule>
  </conditionalFormatting>
  <conditionalFormatting sqref="C18">
    <cfRule type="cellIs" dxfId="31" priority="11" operator="equal">
      <formula>"ΤΑ ΣΤΟΙΧΕΙΑ ΕΙΝΑΙ ΟΡΘΑ"</formula>
    </cfRule>
    <cfRule type="cellIs" dxfId="30" priority="12" operator="equal">
      <formula>"ΥΠΑΡΧΟΥΝ ΛΑΘΗ"</formula>
    </cfRule>
  </conditionalFormatting>
  <conditionalFormatting sqref="C19">
    <cfRule type="cellIs" dxfId="29" priority="9" operator="equal">
      <formula>"ΤΑ ΣΤΟΙΧΕΙΑ ΕΙΝΑΙ ΟΡΘΑ"</formula>
    </cfRule>
    <cfRule type="cellIs" dxfId="28" priority="10" operator="equal">
      <formula>"ΥΠΑΡΧΟΥΝ ΛΑΘΗ"</formula>
    </cfRule>
  </conditionalFormatting>
  <conditionalFormatting sqref="C20">
    <cfRule type="cellIs" dxfId="27" priority="7" operator="equal">
      <formula>"ΤΑ ΣΤΟΙΧΕΙΑ ΕΙΝΑΙ ΟΡΘΑ"</formula>
    </cfRule>
    <cfRule type="cellIs" dxfId="26" priority="8" operator="equal">
      <formula>"ΥΠΑΡΧΟΥΝ ΛΑΘΗ"</formula>
    </cfRule>
  </conditionalFormatting>
  <conditionalFormatting sqref="C21">
    <cfRule type="cellIs" dxfId="25" priority="5" operator="equal">
      <formula>"ΤΑ ΣΤΟΙΧΕΙΑ ΕΙΝΑΙ ΟΡΘΑ"</formula>
    </cfRule>
    <cfRule type="cellIs" dxfId="24" priority="6" operator="equal">
      <formula>"ΥΠΑΡΧΟΥΝ ΛΑΘΗ"</formula>
    </cfRule>
  </conditionalFormatting>
  <conditionalFormatting sqref="C22">
    <cfRule type="cellIs" dxfId="23" priority="3" operator="equal">
      <formula>"ΤΑ ΣΤΟΙΧΕΙΑ ΕΙΝΑΙ ΟΡΘΑ"</formula>
    </cfRule>
    <cfRule type="cellIs" dxfId="22" priority="4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3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"/>
    </sheetView>
  </sheetViews>
  <sheetFormatPr defaultRowHeight="15" x14ac:dyDescent="0.25"/>
  <cols>
    <col min="1" max="1" width="39.7109375" style="173" customWidth="1"/>
    <col min="2" max="2" width="20" style="173" customWidth="1"/>
    <col min="3" max="5" width="37.140625" style="173" hidden="1" customWidth="1"/>
    <col min="6" max="6" width="37.140625" style="173" customWidth="1"/>
    <col min="7" max="9" width="9.140625" style="173"/>
    <col min="10" max="14" width="37.140625" style="173" customWidth="1"/>
    <col min="15" max="16384" width="9.140625" style="173"/>
  </cols>
  <sheetData>
    <row r="1" spans="1:5" ht="15.75" thickBot="1" x14ac:dyDescent="0.3">
      <c r="A1" s="27" t="s">
        <v>32</v>
      </c>
      <c r="B1" s="28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29" t="s">
        <v>39</v>
      </c>
      <c r="B2" s="168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0" t="s">
        <v>40</v>
      </c>
      <c r="B3" s="168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0" t="s">
        <v>404</v>
      </c>
      <c r="B4" s="168" t="s">
        <v>36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ht="15.75" thickBot="1" x14ac:dyDescent="0.3">
      <c r="A5" s="30" t="s">
        <v>405</v>
      </c>
      <c r="B5" s="168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0" t="s">
        <v>406</v>
      </c>
      <c r="B6" s="168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0" t="s">
        <v>407</v>
      </c>
      <c r="B7" s="168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0" t="s">
        <v>408</v>
      </c>
      <c r="B8" s="168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0" t="s">
        <v>409</v>
      </c>
      <c r="B9" s="168" t="s">
        <v>36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ht="15.75" thickBot="1" x14ac:dyDescent="0.3">
      <c r="A10" s="30" t="s">
        <v>410</v>
      </c>
      <c r="B10" s="168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0" t="s">
        <v>411</v>
      </c>
      <c r="B11" s="168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0" t="s">
        <v>412</v>
      </c>
      <c r="B12" s="168" t="s">
        <v>36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ht="15.75" thickBot="1" x14ac:dyDescent="0.3">
      <c r="A13" s="30" t="s">
        <v>413</v>
      </c>
      <c r="B13" s="168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1" t="s">
        <v>414</v>
      </c>
      <c r="B14" s="168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73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73" t="str">
        <f>CONCATENATE(D2,D3,D4,D5,D6,D7,D8,D9,D10,D11,D12,D13,D14)</f>
        <v/>
      </c>
      <c r="E15" s="173" t="str">
        <f>CONCATENATE(E2,E3,E4,E5,E6,E7,E8,E9,E10,E11,E12,E13,E14)</f>
        <v/>
      </c>
    </row>
  </sheetData>
  <sheetProtection algorithmName="SHA-512" hashValue="s2dJggtK/+RTz64uJbw9OB9M8gAJcN7snt1BB9Y8g16anZ2PC/UDGCvBwYyWqBRMr+PMT5XB7Z24xPrD3z2cyg==" saltValue="/WodAAqQte0lUSVkjIC+xA==" spinCount="100000" sheet="1" objects="1" scenarios="1" selectLockedCells="1"/>
  <sortState ref="A2:A14">
    <sortCondition ref="A2"/>
  </sortState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6"/>
  <sheetViews>
    <sheetView showGridLines="0" topLeftCell="J1" workbookViewId="0">
      <selection activeCell="L3" sqref="L3"/>
    </sheetView>
  </sheetViews>
  <sheetFormatPr defaultColWidth="0" defaultRowHeight="15" zeroHeight="1" x14ac:dyDescent="0.25"/>
  <cols>
    <col min="1" max="1" width="9.140625" style="84" hidden="1" customWidth="1"/>
    <col min="2" max="4" width="37.140625" style="84" hidden="1" customWidth="1"/>
    <col min="5" max="5" width="32.85546875" style="84" hidden="1" customWidth="1"/>
    <col min="6" max="6" width="6" style="84" hidden="1" customWidth="1"/>
    <col min="7" max="7" width="24" style="84" hidden="1" customWidth="1"/>
    <col min="8" max="8" width="26.7109375" style="84" hidden="1" customWidth="1"/>
    <col min="9" max="9" width="9.140625" style="84" hidden="1" customWidth="1"/>
    <col min="10" max="10" width="20.85546875" style="173" bestFit="1" customWidth="1"/>
    <col min="11" max="11" width="34.140625" style="173" customWidth="1"/>
    <col min="12" max="12" width="16.7109375" style="173" customWidth="1"/>
    <col min="13" max="13" width="36" style="84" hidden="1" customWidth="1"/>
    <col min="14" max="14" width="32.85546875" style="84" hidden="1" customWidth="1"/>
    <col min="15" max="16384" width="9.140625" style="173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6" t="s">
        <v>415</v>
      </c>
      <c r="K1" s="37" t="s">
        <v>416</v>
      </c>
      <c r="L1" s="28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3" t="s">
        <v>576</v>
      </c>
      <c r="F2" s="203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 t="e">
        <f>SMALL(H:H,A2)</f>
        <v>#NUM!</v>
      </c>
      <c r="J2" t="str">
        <f>IF(ISNUMBER(I2),LOOKUP(I2,A:A,B:B),"")</f>
        <v/>
      </c>
      <c r="K2" t="str">
        <f>IF(ISNUMBER(I2),LOOKUP(I2,A:A,D:D),"")</f>
        <v/>
      </c>
      <c r="L2" s="169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3" t="s">
        <v>577</v>
      </c>
      <c r="F3" s="203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 t="e">
        <f t="shared" ref="I3:I66" si="2">SMALL(H:H,A3)</f>
        <v>#NUM!</v>
      </c>
      <c r="J3" t="str">
        <f t="shared" ref="J3:J66" si="3">IF(ISNUMBER(I3),LOOKUP(I3,A:A,B:B),"")</f>
        <v/>
      </c>
      <c r="K3" t="str">
        <f t="shared" ref="K3:K66" si="4">IF(ISNUMBER(I3),LOOKUP(I3,A:A,D:D),"")</f>
        <v/>
      </c>
      <c r="L3" s="169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3" t="s">
        <v>578</v>
      </c>
      <c r="F4" s="203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 t="e">
        <f t="shared" si="2"/>
        <v>#NUM!</v>
      </c>
      <c r="J4" t="str">
        <f t="shared" si="3"/>
        <v/>
      </c>
      <c r="K4" t="str">
        <f t="shared" si="4"/>
        <v/>
      </c>
      <c r="L4" s="169" t="s">
        <v>420</v>
      </c>
      <c r="M4" t="str">
        <f t="shared" si="0"/>
        <v/>
      </c>
      <c r="N4" t="str">
        <f t="shared" ref="N4:N67" si="5">N3&amp;M4</f>
        <v/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3" t="s">
        <v>579</v>
      </c>
      <c r="F5" s="203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 t="e">
        <f t="shared" si="2"/>
        <v>#NUM!</v>
      </c>
      <c r="J5" t="str">
        <f t="shared" si="3"/>
        <v/>
      </c>
      <c r="K5" t="str">
        <f t="shared" si="4"/>
        <v/>
      </c>
      <c r="L5" s="169" t="s">
        <v>420</v>
      </c>
      <c r="M5" t="str">
        <f t="shared" si="0"/>
        <v/>
      </c>
      <c r="N5" t="str">
        <f t="shared" si="5"/>
        <v/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3" t="s">
        <v>580</v>
      </c>
      <c r="F6" s="203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 t="e">
        <f t="shared" si="2"/>
        <v>#NUM!</v>
      </c>
      <c r="J6" t="str">
        <f t="shared" si="3"/>
        <v/>
      </c>
      <c r="K6" t="str">
        <f t="shared" si="4"/>
        <v/>
      </c>
      <c r="L6" s="169" t="s">
        <v>420</v>
      </c>
      <c r="M6" t="str">
        <f t="shared" si="0"/>
        <v/>
      </c>
      <c r="N6" t="str">
        <f t="shared" si="5"/>
        <v/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3" t="s">
        <v>581</v>
      </c>
      <c r="F7" s="203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 t="e">
        <f t="shared" si="2"/>
        <v>#NUM!</v>
      </c>
      <c r="J7" t="str">
        <f t="shared" si="3"/>
        <v/>
      </c>
      <c r="K7" t="str">
        <f t="shared" si="4"/>
        <v/>
      </c>
      <c r="L7" s="169" t="s">
        <v>420</v>
      </c>
      <c r="M7" t="str">
        <f t="shared" si="0"/>
        <v/>
      </c>
      <c r="N7" t="str">
        <f t="shared" si="5"/>
        <v/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3" t="s">
        <v>582</v>
      </c>
      <c r="F8" s="203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 t="e">
        <f t="shared" si="2"/>
        <v>#NUM!</v>
      </c>
      <c r="J8" t="str">
        <f t="shared" si="3"/>
        <v/>
      </c>
      <c r="K8" t="str">
        <f t="shared" si="4"/>
        <v/>
      </c>
      <c r="L8" s="169" t="s">
        <v>420</v>
      </c>
      <c r="M8" t="str">
        <f t="shared" si="0"/>
        <v/>
      </c>
      <c r="N8" t="str">
        <f t="shared" si="5"/>
        <v/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3" t="s">
        <v>583</v>
      </c>
      <c r="F9" s="203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 t="e">
        <f t="shared" si="2"/>
        <v>#NUM!</v>
      </c>
      <c r="J9" t="str">
        <f t="shared" si="3"/>
        <v/>
      </c>
      <c r="K9" t="str">
        <f t="shared" si="4"/>
        <v/>
      </c>
      <c r="L9" s="169" t="s">
        <v>420</v>
      </c>
      <c r="M9" t="str">
        <f t="shared" si="0"/>
        <v/>
      </c>
      <c r="N9" t="str">
        <f t="shared" si="5"/>
        <v/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3" t="s">
        <v>584</v>
      </c>
      <c r="F10" s="203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 t="e">
        <f t="shared" si="2"/>
        <v>#NUM!</v>
      </c>
      <c r="J10" t="str">
        <f t="shared" si="3"/>
        <v/>
      </c>
      <c r="K10" t="str">
        <f t="shared" si="4"/>
        <v/>
      </c>
      <c r="L10" s="169" t="s">
        <v>420</v>
      </c>
      <c r="M10" t="str">
        <f t="shared" si="0"/>
        <v/>
      </c>
      <c r="N10" t="str">
        <f t="shared" si="5"/>
        <v/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3" t="s">
        <v>585</v>
      </c>
      <c r="F11" s="203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 t="e">
        <f t="shared" si="2"/>
        <v>#NUM!</v>
      </c>
      <c r="J11" t="str">
        <f t="shared" si="3"/>
        <v/>
      </c>
      <c r="K11" t="str">
        <f t="shared" si="4"/>
        <v/>
      </c>
      <c r="L11" s="169" t="s">
        <v>420</v>
      </c>
      <c r="M11" t="str">
        <f t="shared" si="0"/>
        <v/>
      </c>
      <c r="N11" t="str">
        <f t="shared" si="5"/>
        <v/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3" t="s">
        <v>586</v>
      </c>
      <c r="F12" s="203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 t="e">
        <f t="shared" si="2"/>
        <v>#NUM!</v>
      </c>
      <c r="J12" t="str">
        <f t="shared" si="3"/>
        <v/>
      </c>
      <c r="K12" t="str">
        <f t="shared" si="4"/>
        <v/>
      </c>
      <c r="L12" s="169" t="s">
        <v>420</v>
      </c>
      <c r="M12" t="str">
        <f t="shared" si="0"/>
        <v/>
      </c>
      <c r="N12" t="str">
        <f t="shared" si="5"/>
        <v/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3" t="s">
        <v>587</v>
      </c>
      <c r="F13" s="203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 t="e">
        <f t="shared" si="2"/>
        <v>#NUM!</v>
      </c>
      <c r="J13" t="str">
        <f t="shared" si="3"/>
        <v/>
      </c>
      <c r="K13" t="str">
        <f t="shared" si="4"/>
        <v/>
      </c>
      <c r="L13" s="169" t="s">
        <v>420</v>
      </c>
      <c r="M13" t="str">
        <f t="shared" si="0"/>
        <v/>
      </c>
      <c r="N13" t="str">
        <f t="shared" si="5"/>
        <v/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3" t="s">
        <v>588</v>
      </c>
      <c r="F14" s="203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 t="e">
        <f t="shared" si="2"/>
        <v>#NUM!</v>
      </c>
      <c r="J14" t="str">
        <f t="shared" si="3"/>
        <v/>
      </c>
      <c r="K14" t="str">
        <f t="shared" si="4"/>
        <v/>
      </c>
      <c r="L14" s="169" t="s">
        <v>420</v>
      </c>
      <c r="M14" t="str">
        <f t="shared" si="0"/>
        <v/>
      </c>
      <c r="N14" t="str">
        <f t="shared" si="5"/>
        <v/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3" t="s">
        <v>589</v>
      </c>
      <c r="F15" s="203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 t="e">
        <f t="shared" si="2"/>
        <v>#NUM!</v>
      </c>
      <c r="J15" t="str">
        <f t="shared" si="3"/>
        <v/>
      </c>
      <c r="K15" t="str">
        <f t="shared" si="4"/>
        <v/>
      </c>
      <c r="L15" s="169" t="s">
        <v>420</v>
      </c>
      <c r="M15" t="str">
        <f t="shared" si="0"/>
        <v/>
      </c>
      <c r="N15" t="str">
        <f t="shared" si="5"/>
        <v/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3" t="s">
        <v>590</v>
      </c>
      <c r="F16" s="203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 t="e">
        <f t="shared" si="2"/>
        <v>#NUM!</v>
      </c>
      <c r="J16" t="str">
        <f t="shared" si="3"/>
        <v/>
      </c>
      <c r="K16" t="str">
        <f t="shared" si="4"/>
        <v/>
      </c>
      <c r="L16" s="169" t="s">
        <v>420</v>
      </c>
      <c r="M16" t="str">
        <f t="shared" si="0"/>
        <v/>
      </c>
      <c r="N16" t="str">
        <f t="shared" si="5"/>
        <v/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3" t="s">
        <v>591</v>
      </c>
      <c r="F17" s="203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 t="e">
        <f t="shared" si="2"/>
        <v>#NUM!</v>
      </c>
      <c r="J17" t="str">
        <f t="shared" si="3"/>
        <v/>
      </c>
      <c r="K17" t="str">
        <f t="shared" si="4"/>
        <v/>
      </c>
      <c r="L17" s="169" t="s">
        <v>420</v>
      </c>
      <c r="M17" t="str">
        <f t="shared" si="0"/>
        <v/>
      </c>
      <c r="N17" t="str">
        <f t="shared" si="5"/>
        <v/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3" t="s">
        <v>592</v>
      </c>
      <c r="F18" s="203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 t="e">
        <f t="shared" si="2"/>
        <v>#NUM!</v>
      </c>
      <c r="J18" t="str">
        <f t="shared" si="3"/>
        <v/>
      </c>
      <c r="K18" t="str">
        <f t="shared" si="4"/>
        <v/>
      </c>
      <c r="L18" s="169" t="s">
        <v>420</v>
      </c>
      <c r="M18" t="str">
        <f t="shared" si="0"/>
        <v/>
      </c>
      <c r="N18" t="str">
        <f t="shared" si="5"/>
        <v/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3" t="s">
        <v>593</v>
      </c>
      <c r="F19" s="203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 t="e">
        <f t="shared" si="2"/>
        <v>#NUM!</v>
      </c>
      <c r="J19" t="str">
        <f t="shared" si="3"/>
        <v/>
      </c>
      <c r="K19" t="str">
        <f t="shared" si="4"/>
        <v/>
      </c>
      <c r="L19" s="169" t="s">
        <v>420</v>
      </c>
      <c r="M19" t="str">
        <f t="shared" si="0"/>
        <v/>
      </c>
      <c r="N19" t="str">
        <f t="shared" si="5"/>
        <v/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3" t="s">
        <v>594</v>
      </c>
      <c r="F20" s="203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 t="e">
        <f t="shared" si="2"/>
        <v>#NUM!</v>
      </c>
      <c r="J20" t="str">
        <f t="shared" si="3"/>
        <v/>
      </c>
      <c r="K20" t="str">
        <f t="shared" si="4"/>
        <v/>
      </c>
      <c r="L20" s="169" t="s">
        <v>420</v>
      </c>
      <c r="M20" t="str">
        <f t="shared" si="0"/>
        <v/>
      </c>
      <c r="N20" t="str">
        <f t="shared" si="5"/>
        <v/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3" t="s">
        <v>595</v>
      </c>
      <c r="F21" s="203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 t="e">
        <f t="shared" si="2"/>
        <v>#NUM!</v>
      </c>
      <c r="J21" t="str">
        <f t="shared" si="3"/>
        <v/>
      </c>
      <c r="K21" t="str">
        <f t="shared" si="4"/>
        <v/>
      </c>
      <c r="L21" s="169" t="s">
        <v>420</v>
      </c>
      <c r="M21" t="str">
        <f t="shared" si="0"/>
        <v/>
      </c>
      <c r="N21" t="str">
        <f t="shared" si="5"/>
        <v/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3" t="s">
        <v>596</v>
      </c>
      <c r="F22" s="203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 t="e">
        <f t="shared" si="2"/>
        <v>#NUM!</v>
      </c>
      <c r="J22" t="str">
        <f t="shared" si="3"/>
        <v/>
      </c>
      <c r="K22" t="str">
        <f t="shared" si="4"/>
        <v/>
      </c>
      <c r="L22" s="169" t="s">
        <v>420</v>
      </c>
      <c r="M22" t="str">
        <f t="shared" si="0"/>
        <v/>
      </c>
      <c r="N22" t="str">
        <f t="shared" si="5"/>
        <v/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3" t="s">
        <v>597</v>
      </c>
      <c r="F23" s="203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 t="e">
        <f t="shared" si="2"/>
        <v>#NUM!</v>
      </c>
      <c r="J23" t="str">
        <f t="shared" si="3"/>
        <v/>
      </c>
      <c r="K23" t="str">
        <f t="shared" si="4"/>
        <v/>
      </c>
      <c r="L23" s="169" t="s">
        <v>420</v>
      </c>
      <c r="M23" t="str">
        <f t="shared" si="0"/>
        <v/>
      </c>
      <c r="N23" t="str">
        <f t="shared" si="5"/>
        <v/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3" t="s">
        <v>598</v>
      </c>
      <c r="F24" s="203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 t="e">
        <f t="shared" si="2"/>
        <v>#NUM!</v>
      </c>
      <c r="J24" t="str">
        <f t="shared" si="3"/>
        <v/>
      </c>
      <c r="K24" t="str">
        <f t="shared" si="4"/>
        <v/>
      </c>
      <c r="L24" s="169" t="s">
        <v>420</v>
      </c>
      <c r="M24" t="str">
        <f t="shared" si="0"/>
        <v/>
      </c>
      <c r="N24" t="str">
        <f t="shared" si="5"/>
        <v/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3" t="s">
        <v>599</v>
      </c>
      <c r="F25" s="203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 t="e">
        <f t="shared" si="2"/>
        <v>#NUM!</v>
      </c>
      <c r="J25" t="str">
        <f t="shared" si="3"/>
        <v/>
      </c>
      <c r="K25" t="str">
        <f t="shared" si="4"/>
        <v/>
      </c>
      <c r="L25" s="169" t="s">
        <v>420</v>
      </c>
      <c r="M25" t="str">
        <f t="shared" si="0"/>
        <v/>
      </c>
      <c r="N25" t="str">
        <f t="shared" si="5"/>
        <v/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3" t="s">
        <v>600</v>
      </c>
      <c r="F26" s="203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 t="e">
        <f t="shared" si="2"/>
        <v>#NUM!</v>
      </c>
      <c r="J26" t="str">
        <f t="shared" si="3"/>
        <v/>
      </c>
      <c r="K26" t="str">
        <f t="shared" si="4"/>
        <v/>
      </c>
      <c r="L26" s="169" t="s">
        <v>420</v>
      </c>
      <c r="M26" t="str">
        <f t="shared" si="0"/>
        <v/>
      </c>
      <c r="N26" t="str">
        <f t="shared" si="5"/>
        <v/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3" t="s">
        <v>601</v>
      </c>
      <c r="F27" s="203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 t="e">
        <f t="shared" si="2"/>
        <v>#NUM!</v>
      </c>
      <c r="J27" t="str">
        <f t="shared" si="3"/>
        <v/>
      </c>
      <c r="K27" t="str">
        <f t="shared" si="4"/>
        <v/>
      </c>
      <c r="L27" s="169" t="s">
        <v>420</v>
      </c>
      <c r="M27" t="str">
        <f t="shared" si="0"/>
        <v/>
      </c>
      <c r="N27" t="str">
        <f t="shared" si="5"/>
        <v/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3" t="s">
        <v>602</v>
      </c>
      <c r="F28" s="203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 t="e">
        <f t="shared" si="2"/>
        <v>#NUM!</v>
      </c>
      <c r="J28" t="str">
        <f t="shared" si="3"/>
        <v/>
      </c>
      <c r="K28" t="str">
        <f t="shared" si="4"/>
        <v/>
      </c>
      <c r="L28" s="169" t="s">
        <v>420</v>
      </c>
      <c r="M28" t="str">
        <f t="shared" si="0"/>
        <v/>
      </c>
      <c r="N28" t="str">
        <f t="shared" si="5"/>
        <v/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3" t="s">
        <v>603</v>
      </c>
      <c r="F29" s="203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 t="e">
        <f t="shared" si="2"/>
        <v>#NUM!</v>
      </c>
      <c r="J29" t="str">
        <f t="shared" si="3"/>
        <v/>
      </c>
      <c r="K29" t="str">
        <f t="shared" si="4"/>
        <v/>
      </c>
      <c r="L29" s="169" t="s">
        <v>420</v>
      </c>
      <c r="M29" t="str">
        <f t="shared" si="0"/>
        <v/>
      </c>
      <c r="N29" t="str">
        <f t="shared" si="5"/>
        <v/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3" t="s">
        <v>604</v>
      </c>
      <c r="F30" s="203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 t="e">
        <f t="shared" si="2"/>
        <v>#NUM!</v>
      </c>
      <c r="J30" t="str">
        <f t="shared" si="3"/>
        <v/>
      </c>
      <c r="K30" t="str">
        <f t="shared" si="4"/>
        <v/>
      </c>
      <c r="L30" s="169" t="s">
        <v>420</v>
      </c>
      <c r="M30" t="str">
        <f t="shared" si="0"/>
        <v/>
      </c>
      <c r="N30" t="str">
        <f t="shared" si="5"/>
        <v/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3" t="s">
        <v>605</v>
      </c>
      <c r="F31" s="203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 t="e">
        <f t="shared" si="2"/>
        <v>#NUM!</v>
      </c>
      <c r="J31" t="str">
        <f t="shared" si="3"/>
        <v/>
      </c>
      <c r="K31" t="str">
        <f t="shared" si="4"/>
        <v/>
      </c>
      <c r="L31" s="169" t="s">
        <v>420</v>
      </c>
      <c r="M31" t="str">
        <f t="shared" si="0"/>
        <v/>
      </c>
      <c r="N31" t="str">
        <f t="shared" si="5"/>
        <v/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3" t="s">
        <v>606</v>
      </c>
      <c r="F32" s="203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 t="e">
        <f t="shared" si="2"/>
        <v>#NUM!</v>
      </c>
      <c r="J32" t="str">
        <f t="shared" si="3"/>
        <v/>
      </c>
      <c r="K32" t="str">
        <f t="shared" si="4"/>
        <v/>
      </c>
      <c r="L32" s="169" t="s">
        <v>420</v>
      </c>
      <c r="M32" t="str">
        <f t="shared" si="0"/>
        <v/>
      </c>
      <c r="N32" t="str">
        <f t="shared" si="5"/>
        <v/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3" t="s">
        <v>607</v>
      </c>
      <c r="F33" s="203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 t="e">
        <f t="shared" si="2"/>
        <v>#NUM!</v>
      </c>
      <c r="J33" t="str">
        <f t="shared" si="3"/>
        <v/>
      </c>
      <c r="K33" t="str">
        <f t="shared" si="4"/>
        <v/>
      </c>
      <c r="L33" s="169" t="s">
        <v>420</v>
      </c>
      <c r="M33" t="str">
        <f t="shared" si="0"/>
        <v/>
      </c>
      <c r="N33" t="str">
        <f t="shared" si="5"/>
        <v/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3" t="s">
        <v>608</v>
      </c>
      <c r="F34" s="203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 t="e">
        <f t="shared" si="2"/>
        <v>#NUM!</v>
      </c>
      <c r="J34" t="str">
        <f t="shared" si="3"/>
        <v/>
      </c>
      <c r="K34" t="str">
        <f t="shared" si="4"/>
        <v/>
      </c>
      <c r="L34" s="169" t="s">
        <v>420</v>
      </c>
      <c r="M34" t="str">
        <f t="shared" si="0"/>
        <v/>
      </c>
      <c r="N34" t="str">
        <f t="shared" si="5"/>
        <v/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3" t="s">
        <v>609</v>
      </c>
      <c r="F35" s="203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 t="e">
        <f t="shared" si="2"/>
        <v>#NUM!</v>
      </c>
      <c r="J35" t="str">
        <f t="shared" si="3"/>
        <v/>
      </c>
      <c r="K35" t="str">
        <f t="shared" si="4"/>
        <v/>
      </c>
      <c r="L35" s="169" t="s">
        <v>420</v>
      </c>
      <c r="M35" t="str">
        <f t="shared" si="0"/>
        <v/>
      </c>
      <c r="N35" t="str">
        <f t="shared" si="5"/>
        <v/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3" t="s">
        <v>610</v>
      </c>
      <c r="F36" s="203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 t="e">
        <f t="shared" si="2"/>
        <v>#NUM!</v>
      </c>
      <c r="J36" t="str">
        <f t="shared" si="3"/>
        <v/>
      </c>
      <c r="K36" t="str">
        <f t="shared" si="4"/>
        <v/>
      </c>
      <c r="L36" s="169" t="s">
        <v>420</v>
      </c>
      <c r="M36" t="str">
        <f t="shared" si="0"/>
        <v/>
      </c>
      <c r="N36" t="str">
        <f t="shared" si="5"/>
        <v/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3" t="s">
        <v>611</v>
      </c>
      <c r="F37" s="203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 t="e">
        <f t="shared" si="2"/>
        <v>#NUM!</v>
      </c>
      <c r="J37" t="str">
        <f t="shared" si="3"/>
        <v/>
      </c>
      <c r="K37" t="str">
        <f t="shared" si="4"/>
        <v/>
      </c>
      <c r="L37" s="169" t="s">
        <v>420</v>
      </c>
      <c r="M37" t="str">
        <f t="shared" si="0"/>
        <v/>
      </c>
      <c r="N37" t="str">
        <f t="shared" si="5"/>
        <v/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3" t="s">
        <v>612</v>
      </c>
      <c r="F38" s="203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 t="e">
        <f t="shared" si="2"/>
        <v>#NUM!</v>
      </c>
      <c r="J38" t="str">
        <f t="shared" si="3"/>
        <v/>
      </c>
      <c r="K38" t="str">
        <f t="shared" si="4"/>
        <v/>
      </c>
      <c r="L38" s="169" t="s">
        <v>420</v>
      </c>
      <c r="M38" t="str">
        <f t="shared" si="0"/>
        <v/>
      </c>
      <c r="N38" t="str">
        <f t="shared" si="5"/>
        <v/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3" t="s">
        <v>613</v>
      </c>
      <c r="F39" s="203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 t="e">
        <f t="shared" si="2"/>
        <v>#NUM!</v>
      </c>
      <c r="J39" t="str">
        <f t="shared" si="3"/>
        <v/>
      </c>
      <c r="K39" t="str">
        <f t="shared" si="4"/>
        <v/>
      </c>
      <c r="L39" s="169" t="s">
        <v>420</v>
      </c>
      <c r="M39" t="str">
        <f t="shared" si="0"/>
        <v/>
      </c>
      <c r="N39" t="str">
        <f t="shared" si="5"/>
        <v/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3" t="s">
        <v>614</v>
      </c>
      <c r="F40" s="203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 t="e">
        <f t="shared" si="2"/>
        <v>#NUM!</v>
      </c>
      <c r="J40" t="str">
        <f t="shared" si="3"/>
        <v/>
      </c>
      <c r="K40" t="str">
        <f t="shared" si="4"/>
        <v/>
      </c>
      <c r="L40" s="169" t="s">
        <v>420</v>
      </c>
      <c r="M40" t="str">
        <f t="shared" si="0"/>
        <v/>
      </c>
      <c r="N40" t="str">
        <f t="shared" si="5"/>
        <v/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3" t="s">
        <v>615</v>
      </c>
      <c r="F41" s="203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 t="e">
        <f t="shared" si="2"/>
        <v>#NUM!</v>
      </c>
      <c r="J41" t="str">
        <f t="shared" si="3"/>
        <v/>
      </c>
      <c r="K41" t="str">
        <f t="shared" si="4"/>
        <v/>
      </c>
      <c r="L41" s="169" t="s">
        <v>420</v>
      </c>
      <c r="M41" t="str">
        <f t="shared" si="0"/>
        <v/>
      </c>
      <c r="N41" t="str">
        <f t="shared" si="5"/>
        <v/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3" t="s">
        <v>616</v>
      </c>
      <c r="F42" s="203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 t="e">
        <f t="shared" si="2"/>
        <v>#NUM!</v>
      </c>
      <c r="J42" t="str">
        <f t="shared" si="3"/>
        <v/>
      </c>
      <c r="K42" t="str">
        <f t="shared" si="4"/>
        <v/>
      </c>
      <c r="L42" s="169" t="s">
        <v>420</v>
      </c>
      <c r="M42" t="str">
        <f t="shared" si="0"/>
        <v/>
      </c>
      <c r="N42" t="str">
        <f t="shared" si="5"/>
        <v/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3" t="s">
        <v>617</v>
      </c>
      <c r="F43" s="203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 t="e">
        <f t="shared" si="2"/>
        <v>#NUM!</v>
      </c>
      <c r="J43" t="str">
        <f t="shared" si="3"/>
        <v/>
      </c>
      <c r="K43" t="str">
        <f t="shared" si="4"/>
        <v/>
      </c>
      <c r="L43" s="169" t="s">
        <v>420</v>
      </c>
      <c r="M43" t="str">
        <f t="shared" si="0"/>
        <v/>
      </c>
      <c r="N43" t="str">
        <f t="shared" si="5"/>
        <v/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3" t="s">
        <v>618</v>
      </c>
      <c r="F44" s="203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 t="e">
        <f t="shared" si="2"/>
        <v>#NUM!</v>
      </c>
      <c r="J44" t="str">
        <f t="shared" si="3"/>
        <v/>
      </c>
      <c r="K44" t="str">
        <f t="shared" si="4"/>
        <v/>
      </c>
      <c r="L44" s="169" t="s">
        <v>420</v>
      </c>
      <c r="M44" t="str">
        <f t="shared" si="0"/>
        <v/>
      </c>
      <c r="N44" t="str">
        <f t="shared" si="5"/>
        <v/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3" t="s">
        <v>619</v>
      </c>
      <c r="F45" s="203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 t="e">
        <f t="shared" si="2"/>
        <v>#NUM!</v>
      </c>
      <c r="J45" t="str">
        <f t="shared" si="3"/>
        <v/>
      </c>
      <c r="K45" t="str">
        <f t="shared" si="4"/>
        <v/>
      </c>
      <c r="L45" s="169" t="s">
        <v>420</v>
      </c>
      <c r="M45" t="str">
        <f t="shared" si="0"/>
        <v/>
      </c>
      <c r="N45" t="str">
        <f t="shared" si="5"/>
        <v/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3" t="s">
        <v>620</v>
      </c>
      <c r="F46" s="203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 t="e">
        <f t="shared" si="2"/>
        <v>#NUM!</v>
      </c>
      <c r="J46" t="str">
        <f t="shared" si="3"/>
        <v/>
      </c>
      <c r="K46" t="str">
        <f t="shared" si="4"/>
        <v/>
      </c>
      <c r="L46" s="169" t="s">
        <v>420</v>
      </c>
      <c r="M46" t="str">
        <f t="shared" si="0"/>
        <v/>
      </c>
      <c r="N46" t="str">
        <f t="shared" si="5"/>
        <v/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3"/>
      <c r="F47" s="203"/>
      <c r="G47" t="str">
        <f>LOOKUP(B47,ΠΕΡΙΦΕΡΕΙΑ!$A$2:$A$14,ΠΕΡΙΦΕΡΕΙΑ!$B$2:$B$14)</f>
        <v>Ολική</v>
      </c>
      <c r="H47" t="str">
        <f t="shared" si="1"/>
        <v/>
      </c>
      <c r="I47" t="e">
        <f t="shared" si="2"/>
        <v>#NUM!</v>
      </c>
      <c r="J47" t="str">
        <f t="shared" si="3"/>
        <v/>
      </c>
      <c r="K47" t="str">
        <f t="shared" si="4"/>
        <v/>
      </c>
      <c r="L47" s="169" t="s">
        <v>420</v>
      </c>
      <c r="M47" t="str">
        <f t="shared" si="0"/>
        <v/>
      </c>
      <c r="N47" t="str">
        <f t="shared" si="5"/>
        <v/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3" t="s">
        <v>621</v>
      </c>
      <c r="F48" s="203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 t="e">
        <f t="shared" si="2"/>
        <v>#NUM!</v>
      </c>
      <c r="J48" t="str">
        <f t="shared" si="3"/>
        <v/>
      </c>
      <c r="K48" t="str">
        <f t="shared" si="4"/>
        <v/>
      </c>
      <c r="L48" s="169" t="s">
        <v>420</v>
      </c>
      <c r="M48" t="str">
        <f t="shared" si="0"/>
        <v/>
      </c>
      <c r="N48" t="str">
        <f t="shared" si="5"/>
        <v/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3" t="s">
        <v>622</v>
      </c>
      <c r="F49" s="203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 t="e">
        <f t="shared" si="2"/>
        <v>#NUM!</v>
      </c>
      <c r="J49" t="str">
        <f t="shared" si="3"/>
        <v/>
      </c>
      <c r="K49" t="str">
        <f t="shared" si="4"/>
        <v/>
      </c>
      <c r="L49" s="169" t="s">
        <v>420</v>
      </c>
      <c r="M49" t="str">
        <f t="shared" si="0"/>
        <v/>
      </c>
      <c r="N49" t="str">
        <f t="shared" si="5"/>
        <v/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3" t="s">
        <v>623</v>
      </c>
      <c r="F50" s="203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 t="e">
        <f t="shared" si="2"/>
        <v>#NUM!</v>
      </c>
      <c r="J50" t="str">
        <f t="shared" si="3"/>
        <v/>
      </c>
      <c r="K50" t="str">
        <f t="shared" si="4"/>
        <v/>
      </c>
      <c r="L50" s="169" t="s">
        <v>420</v>
      </c>
      <c r="M50" t="str">
        <f t="shared" si="0"/>
        <v/>
      </c>
      <c r="N50" t="str">
        <f t="shared" si="5"/>
        <v/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3" t="s">
        <v>624</v>
      </c>
      <c r="F51" s="203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 t="e">
        <f t="shared" si="2"/>
        <v>#NUM!</v>
      </c>
      <c r="J51" t="str">
        <f t="shared" si="3"/>
        <v/>
      </c>
      <c r="K51" t="str">
        <f t="shared" si="4"/>
        <v/>
      </c>
      <c r="L51" s="169" t="s">
        <v>420</v>
      </c>
      <c r="M51" t="str">
        <f t="shared" si="0"/>
        <v/>
      </c>
      <c r="N51" t="str">
        <f t="shared" si="5"/>
        <v/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3" t="s">
        <v>625</v>
      </c>
      <c r="F52" s="203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9" t="s">
        <v>420</v>
      </c>
      <c r="M52" t="str">
        <f t="shared" si="0"/>
        <v/>
      </c>
      <c r="N52" t="str">
        <f t="shared" si="5"/>
        <v/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3" t="s">
        <v>626</v>
      </c>
      <c r="F53" s="203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9" t="s">
        <v>420</v>
      </c>
      <c r="M53" t="str">
        <f t="shared" si="0"/>
        <v/>
      </c>
      <c r="N53" t="str">
        <f t="shared" si="5"/>
        <v/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3" t="s">
        <v>627</v>
      </c>
      <c r="F54" s="203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9" t="s">
        <v>420</v>
      </c>
      <c r="M54" t="str">
        <f t="shared" si="0"/>
        <v/>
      </c>
      <c r="N54" t="str">
        <f t="shared" si="5"/>
        <v/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3" t="s">
        <v>628</v>
      </c>
      <c r="F55" s="203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9" t="s">
        <v>420</v>
      </c>
      <c r="M55" t="str">
        <f t="shared" si="0"/>
        <v/>
      </c>
      <c r="N55" t="str">
        <f t="shared" si="5"/>
        <v/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3" t="s">
        <v>629</v>
      </c>
      <c r="F56" s="203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9" t="s">
        <v>420</v>
      </c>
      <c r="M56" t="str">
        <f t="shared" si="0"/>
        <v/>
      </c>
      <c r="N56" t="str">
        <f t="shared" si="5"/>
        <v/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3" t="s">
        <v>630</v>
      </c>
      <c r="F57" s="203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9" t="s">
        <v>420</v>
      </c>
      <c r="M57" t="str">
        <f t="shared" si="0"/>
        <v/>
      </c>
      <c r="N57" t="str">
        <f t="shared" si="5"/>
        <v/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3" t="s">
        <v>631</v>
      </c>
      <c r="F58" s="203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9" t="s">
        <v>420</v>
      </c>
      <c r="M58" t="str">
        <f t="shared" si="0"/>
        <v/>
      </c>
      <c r="N58" t="str">
        <f t="shared" si="5"/>
        <v/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3" t="s">
        <v>632</v>
      </c>
      <c r="F59" s="203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9" t="s">
        <v>420</v>
      </c>
      <c r="M59" t="str">
        <f t="shared" si="0"/>
        <v/>
      </c>
      <c r="N59" t="str">
        <f t="shared" si="5"/>
        <v/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3" t="s">
        <v>633</v>
      </c>
      <c r="F60" s="203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9" t="s">
        <v>420</v>
      </c>
      <c r="M60" t="str">
        <f t="shared" si="0"/>
        <v/>
      </c>
      <c r="N60" t="str">
        <f t="shared" si="5"/>
        <v/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3" t="s">
        <v>634</v>
      </c>
      <c r="F61" s="203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9" t="s">
        <v>420</v>
      </c>
      <c r="M61" t="str">
        <f t="shared" si="0"/>
        <v/>
      </c>
      <c r="N61" t="str">
        <f t="shared" si="5"/>
        <v/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3" t="s">
        <v>635</v>
      </c>
      <c r="F62" s="203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9" t="s">
        <v>420</v>
      </c>
      <c r="M62" t="str">
        <f t="shared" si="0"/>
        <v/>
      </c>
      <c r="N62" t="str">
        <f t="shared" si="5"/>
        <v/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3" t="s">
        <v>636</v>
      </c>
      <c r="F63" s="203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9" t="s">
        <v>420</v>
      </c>
      <c r="M63" t="str">
        <f t="shared" si="0"/>
        <v/>
      </c>
      <c r="N63" t="str">
        <f t="shared" si="5"/>
        <v/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3" t="s">
        <v>637</v>
      </c>
      <c r="F64" s="203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9" t="s">
        <v>420</v>
      </c>
      <c r="M64" t="str">
        <f t="shared" si="0"/>
        <v/>
      </c>
      <c r="N64" t="str">
        <f t="shared" si="5"/>
        <v/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3" t="s">
        <v>638</v>
      </c>
      <c r="F65" s="203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9" t="s">
        <v>420</v>
      </c>
      <c r="M65" t="str">
        <f t="shared" si="0"/>
        <v/>
      </c>
      <c r="N65" t="str">
        <f t="shared" si="5"/>
        <v/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3" t="s">
        <v>639</v>
      </c>
      <c r="F66" s="203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9" t="s">
        <v>420</v>
      </c>
      <c r="M66" t="str">
        <f t="shared" ref="M66:M129" si="6">IF(K66&lt;&gt;"",IF(L66="ΝΑΙ",J66&amp;" - "&amp;K66&amp;", ",""),"")</f>
        <v/>
      </c>
      <c r="N66" t="str">
        <f t="shared" si="5"/>
        <v/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3" t="s">
        <v>640</v>
      </c>
      <c r="F67" s="203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9" t="s">
        <v>420</v>
      </c>
      <c r="M67" t="str">
        <f t="shared" si="6"/>
        <v/>
      </c>
      <c r="N67" t="str">
        <f t="shared" si="5"/>
        <v/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3" t="s">
        <v>641</v>
      </c>
      <c r="F68" s="203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9" t="s">
        <v>420</v>
      </c>
      <c r="M68" t="str">
        <f t="shared" si="6"/>
        <v/>
      </c>
      <c r="N68" t="str">
        <f t="shared" ref="N68:N131" si="11">N67&amp;M68</f>
        <v/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3" t="s">
        <v>642</v>
      </c>
      <c r="F69" s="203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9" t="s">
        <v>420</v>
      </c>
      <c r="M69" t="str">
        <f t="shared" si="6"/>
        <v/>
      </c>
      <c r="N69" t="str">
        <f t="shared" si="11"/>
        <v/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3" t="s">
        <v>643</v>
      </c>
      <c r="F70" s="203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9" t="s">
        <v>420</v>
      </c>
      <c r="M70" t="str">
        <f t="shared" si="6"/>
        <v/>
      </c>
      <c r="N70" t="str">
        <f t="shared" si="11"/>
        <v/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3" t="s">
        <v>644</v>
      </c>
      <c r="F71" s="203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9" t="s">
        <v>420</v>
      </c>
      <c r="M71" t="str">
        <f t="shared" si="6"/>
        <v/>
      </c>
      <c r="N71" t="str">
        <f t="shared" si="11"/>
        <v/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3" t="s">
        <v>645</v>
      </c>
      <c r="F72" s="203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9" t="s">
        <v>420</v>
      </c>
      <c r="M72" t="str">
        <f t="shared" si="6"/>
        <v/>
      </c>
      <c r="N72" t="str">
        <f t="shared" si="11"/>
        <v/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3" t="s">
        <v>646</v>
      </c>
      <c r="F73" s="20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9" t="s">
        <v>420</v>
      </c>
      <c r="M73" t="str">
        <f t="shared" si="6"/>
        <v/>
      </c>
      <c r="N73" t="str">
        <f t="shared" si="11"/>
        <v/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3" t="s">
        <v>647</v>
      </c>
      <c r="F74" s="203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9" t="s">
        <v>420</v>
      </c>
      <c r="M74" t="str">
        <f t="shared" si="6"/>
        <v/>
      </c>
      <c r="N74" t="str">
        <f t="shared" si="11"/>
        <v/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3" t="s">
        <v>648</v>
      </c>
      <c r="F75" s="203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9" t="s">
        <v>420</v>
      </c>
      <c r="M75" t="str">
        <f t="shared" si="6"/>
        <v/>
      </c>
      <c r="N75" t="str">
        <f t="shared" si="11"/>
        <v/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3" t="s">
        <v>649</v>
      </c>
      <c r="F76" s="203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9" t="s">
        <v>420</v>
      </c>
      <c r="M76" t="str">
        <f t="shared" si="6"/>
        <v/>
      </c>
      <c r="N76" t="str">
        <f t="shared" si="11"/>
        <v/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3" t="s">
        <v>650</v>
      </c>
      <c r="F77" s="203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9" t="s">
        <v>420</v>
      </c>
      <c r="M77" t="str">
        <f t="shared" si="6"/>
        <v/>
      </c>
      <c r="N77" t="str">
        <f t="shared" si="11"/>
        <v/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3" t="s">
        <v>651</v>
      </c>
      <c r="F78" s="203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9" t="s">
        <v>420</v>
      </c>
      <c r="M78" t="str">
        <f t="shared" si="6"/>
        <v/>
      </c>
      <c r="N78" t="str">
        <f t="shared" si="11"/>
        <v/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3" t="s">
        <v>652</v>
      </c>
      <c r="F79" s="203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9" t="s">
        <v>420</v>
      </c>
      <c r="M79" t="str">
        <f t="shared" si="6"/>
        <v/>
      </c>
      <c r="N79" t="str">
        <f t="shared" si="11"/>
        <v/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3" t="s">
        <v>653</v>
      </c>
      <c r="F80" s="203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9" t="s">
        <v>420</v>
      </c>
      <c r="M80" t="str">
        <f t="shared" si="6"/>
        <v/>
      </c>
      <c r="N80" t="str">
        <f t="shared" si="11"/>
        <v/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3" t="s">
        <v>654</v>
      </c>
      <c r="F81" s="203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9" t="s">
        <v>420</v>
      </c>
      <c r="M81" t="str">
        <f t="shared" si="6"/>
        <v/>
      </c>
      <c r="N81" t="str">
        <f t="shared" si="11"/>
        <v/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3" t="s">
        <v>655</v>
      </c>
      <c r="F82" s="203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9" t="s">
        <v>420</v>
      </c>
      <c r="M82" t="str">
        <f t="shared" si="6"/>
        <v/>
      </c>
      <c r="N82" t="str">
        <f t="shared" si="11"/>
        <v/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3" t="s">
        <v>656</v>
      </c>
      <c r="F83" s="20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9" t="s">
        <v>420</v>
      </c>
      <c r="M83" t="str">
        <f t="shared" si="6"/>
        <v/>
      </c>
      <c r="N83" t="str">
        <f t="shared" si="11"/>
        <v/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3" t="s">
        <v>657</v>
      </c>
      <c r="F84" s="203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9" t="s">
        <v>420</v>
      </c>
      <c r="M84" t="str">
        <f t="shared" si="6"/>
        <v/>
      </c>
      <c r="N84" t="str">
        <f t="shared" si="11"/>
        <v/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3" t="s">
        <v>658</v>
      </c>
      <c r="F85" s="203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9" t="s">
        <v>420</v>
      </c>
      <c r="M85" t="str">
        <f t="shared" si="6"/>
        <v/>
      </c>
      <c r="N85" t="str">
        <f t="shared" si="11"/>
        <v/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3" t="s">
        <v>659</v>
      </c>
      <c r="F86" s="203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9" t="s">
        <v>420</v>
      </c>
      <c r="M86" t="str">
        <f t="shared" si="6"/>
        <v/>
      </c>
      <c r="N86" t="str">
        <f t="shared" si="11"/>
        <v/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3" t="s">
        <v>660</v>
      </c>
      <c r="F87" s="203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9" t="s">
        <v>420</v>
      </c>
      <c r="M87" t="str">
        <f t="shared" si="6"/>
        <v/>
      </c>
      <c r="N87" t="str">
        <f t="shared" si="11"/>
        <v/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3" t="s">
        <v>661</v>
      </c>
      <c r="F88" s="203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9" t="s">
        <v>420</v>
      </c>
      <c r="M88" t="str">
        <f t="shared" si="6"/>
        <v/>
      </c>
      <c r="N88" t="str">
        <f t="shared" si="11"/>
        <v/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3" t="s">
        <v>662</v>
      </c>
      <c r="F89" s="203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9" t="s">
        <v>420</v>
      </c>
      <c r="M89" t="str">
        <f t="shared" si="6"/>
        <v/>
      </c>
      <c r="N89" t="str">
        <f t="shared" si="11"/>
        <v/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3" t="s">
        <v>663</v>
      </c>
      <c r="F90" s="203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9" t="s">
        <v>420</v>
      </c>
      <c r="M90" t="str">
        <f t="shared" si="6"/>
        <v/>
      </c>
      <c r="N90" t="str">
        <f t="shared" si="11"/>
        <v/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3" t="s">
        <v>664</v>
      </c>
      <c r="F91" s="203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9" t="s">
        <v>420</v>
      </c>
      <c r="M91" t="str">
        <f t="shared" si="6"/>
        <v/>
      </c>
      <c r="N91" t="str">
        <f t="shared" si="11"/>
        <v/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3" t="s">
        <v>665</v>
      </c>
      <c r="F92" s="203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9" t="s">
        <v>420</v>
      </c>
      <c r="M92" t="str">
        <f t="shared" si="6"/>
        <v/>
      </c>
      <c r="N92" t="str">
        <f t="shared" si="11"/>
        <v/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3" t="s">
        <v>666</v>
      </c>
      <c r="F93" s="20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9" t="s">
        <v>420</v>
      </c>
      <c r="M93" t="str">
        <f t="shared" si="6"/>
        <v/>
      </c>
      <c r="N93" t="str">
        <f t="shared" si="11"/>
        <v/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3" t="s">
        <v>667</v>
      </c>
      <c r="F94" s="203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9" t="s">
        <v>420</v>
      </c>
      <c r="M94" t="str">
        <f t="shared" si="6"/>
        <v/>
      </c>
      <c r="N94" t="str">
        <f t="shared" si="11"/>
        <v/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3" t="s">
        <v>668</v>
      </c>
      <c r="F95" s="203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9" t="s">
        <v>420</v>
      </c>
      <c r="M95" t="str">
        <f t="shared" si="6"/>
        <v/>
      </c>
      <c r="N95" t="str">
        <f t="shared" si="11"/>
        <v/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3" t="s">
        <v>669</v>
      </c>
      <c r="F96" s="203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9" t="s">
        <v>420</v>
      </c>
      <c r="M96" t="str">
        <f t="shared" si="6"/>
        <v/>
      </c>
      <c r="N96" t="str">
        <f t="shared" si="11"/>
        <v/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3" t="s">
        <v>670</v>
      </c>
      <c r="F97" s="203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9" t="s">
        <v>420</v>
      </c>
      <c r="M97" t="str">
        <f t="shared" si="6"/>
        <v/>
      </c>
      <c r="N97" t="str">
        <f t="shared" si="11"/>
        <v/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3" t="s">
        <v>671</v>
      </c>
      <c r="F98" s="203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9" t="s">
        <v>420</v>
      </c>
      <c r="M98" t="str">
        <f t="shared" si="6"/>
        <v/>
      </c>
      <c r="N98" t="str">
        <f t="shared" si="11"/>
        <v/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3" t="s">
        <v>672</v>
      </c>
      <c r="F99" s="203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9" t="s">
        <v>420</v>
      </c>
      <c r="M99" t="str">
        <f t="shared" si="6"/>
        <v/>
      </c>
      <c r="N99" t="str">
        <f t="shared" si="11"/>
        <v/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3" t="s">
        <v>673</v>
      </c>
      <c r="F100" s="203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9" t="s">
        <v>420</v>
      </c>
      <c r="M100" t="str">
        <f t="shared" si="6"/>
        <v/>
      </c>
      <c r="N100" t="str">
        <f t="shared" si="11"/>
        <v/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3" t="s">
        <v>674</v>
      </c>
      <c r="F101" s="203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9" t="s">
        <v>420</v>
      </c>
      <c r="M101" t="str">
        <f t="shared" si="6"/>
        <v/>
      </c>
      <c r="N101" t="str">
        <f t="shared" si="11"/>
        <v/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3" t="s">
        <v>675</v>
      </c>
      <c r="F102" s="203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9" t="s">
        <v>420</v>
      </c>
      <c r="M102" t="str">
        <f t="shared" si="6"/>
        <v/>
      </c>
      <c r="N102" t="str">
        <f t="shared" si="11"/>
        <v/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3" t="s">
        <v>676</v>
      </c>
      <c r="F103" s="2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9" t="s">
        <v>420</v>
      </c>
      <c r="M103" t="str">
        <f t="shared" si="6"/>
        <v/>
      </c>
      <c r="N103" t="str">
        <f t="shared" si="11"/>
        <v/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3" t="s">
        <v>677</v>
      </c>
      <c r="F104" s="203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9" t="s">
        <v>420</v>
      </c>
      <c r="M104" t="str">
        <f t="shared" si="6"/>
        <v/>
      </c>
      <c r="N104" t="str">
        <f t="shared" si="11"/>
        <v/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3" t="s">
        <v>678</v>
      </c>
      <c r="F105" s="203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9" t="s">
        <v>420</v>
      </c>
      <c r="M105" t="str">
        <f t="shared" si="6"/>
        <v/>
      </c>
      <c r="N105" t="str">
        <f t="shared" si="11"/>
        <v/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3" t="s">
        <v>679</v>
      </c>
      <c r="F106" s="203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9" t="s">
        <v>420</v>
      </c>
      <c r="M106" t="str">
        <f t="shared" si="6"/>
        <v/>
      </c>
      <c r="N106" t="str">
        <f t="shared" si="11"/>
        <v/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3" t="s">
        <v>680</v>
      </c>
      <c r="F107" s="203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9" t="s">
        <v>420</v>
      </c>
      <c r="M107" t="str">
        <f t="shared" si="6"/>
        <v/>
      </c>
      <c r="N107" t="str">
        <f t="shared" si="11"/>
        <v/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3" t="s">
        <v>681</v>
      </c>
      <c r="F108" s="203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9" t="s">
        <v>420</v>
      </c>
      <c r="M108" t="str">
        <f t="shared" si="6"/>
        <v/>
      </c>
      <c r="N108" t="str">
        <f t="shared" si="11"/>
        <v/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3" t="s">
        <v>682</v>
      </c>
      <c r="F109" s="203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9" t="s">
        <v>420</v>
      </c>
      <c r="M109" t="str">
        <f t="shared" si="6"/>
        <v/>
      </c>
      <c r="N109" t="str">
        <f t="shared" si="11"/>
        <v/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3" t="s">
        <v>683</v>
      </c>
      <c r="F110" s="203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9" t="s">
        <v>420</v>
      </c>
      <c r="M110" t="str">
        <f t="shared" si="6"/>
        <v/>
      </c>
      <c r="N110" t="str">
        <f t="shared" si="11"/>
        <v/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3" t="s">
        <v>684</v>
      </c>
      <c r="F111" s="203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9" t="s">
        <v>420</v>
      </c>
      <c r="M111" t="str">
        <f t="shared" si="6"/>
        <v/>
      </c>
      <c r="N111" t="str">
        <f t="shared" si="11"/>
        <v/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3" t="s">
        <v>685</v>
      </c>
      <c r="F112" s="203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9" t="s">
        <v>420</v>
      </c>
      <c r="M112" t="str">
        <f t="shared" si="6"/>
        <v/>
      </c>
      <c r="N112" t="str">
        <f t="shared" si="11"/>
        <v/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3" t="s">
        <v>686</v>
      </c>
      <c r="F113" s="20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9" t="s">
        <v>420</v>
      </c>
      <c r="M113" t="str">
        <f t="shared" si="6"/>
        <v/>
      </c>
      <c r="N113" t="str">
        <f t="shared" si="11"/>
        <v/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3" t="s">
        <v>687</v>
      </c>
      <c r="F114" s="203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9" t="s">
        <v>420</v>
      </c>
      <c r="M114" t="str">
        <f t="shared" si="6"/>
        <v/>
      </c>
      <c r="N114" t="str">
        <f t="shared" si="11"/>
        <v/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3" t="s">
        <v>688</v>
      </c>
      <c r="F115" s="203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9" t="s">
        <v>420</v>
      </c>
      <c r="M115" t="str">
        <f t="shared" si="6"/>
        <v/>
      </c>
      <c r="N115" t="str">
        <f t="shared" si="11"/>
        <v/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3" t="s">
        <v>689</v>
      </c>
      <c r="F116" s="203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9" t="s">
        <v>420</v>
      </c>
      <c r="M116" t="str">
        <f t="shared" si="6"/>
        <v/>
      </c>
      <c r="N116" t="str">
        <f t="shared" si="11"/>
        <v/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3" t="s">
        <v>690</v>
      </c>
      <c r="F117" s="203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9" t="s">
        <v>420</v>
      </c>
      <c r="M117" t="str">
        <f t="shared" si="6"/>
        <v/>
      </c>
      <c r="N117" t="str">
        <f t="shared" si="11"/>
        <v/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3" t="s">
        <v>691</v>
      </c>
      <c r="F118" s="203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9" t="s">
        <v>420</v>
      </c>
      <c r="M118" t="str">
        <f t="shared" si="6"/>
        <v/>
      </c>
      <c r="N118" t="str">
        <f t="shared" si="11"/>
        <v/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3" t="s">
        <v>692</v>
      </c>
      <c r="F119" s="203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9" t="s">
        <v>420</v>
      </c>
      <c r="M119" t="str">
        <f t="shared" si="6"/>
        <v/>
      </c>
      <c r="N119" t="str">
        <f t="shared" si="11"/>
        <v/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3" t="s">
        <v>693</v>
      </c>
      <c r="F120" s="203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9" t="s">
        <v>420</v>
      </c>
      <c r="M120" t="str">
        <f t="shared" si="6"/>
        <v/>
      </c>
      <c r="N120" t="str">
        <f t="shared" si="11"/>
        <v/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3" t="s">
        <v>694</v>
      </c>
      <c r="F121" s="203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9" t="s">
        <v>420</v>
      </c>
      <c r="M121" t="str">
        <f t="shared" si="6"/>
        <v/>
      </c>
      <c r="N121" t="str">
        <f t="shared" si="11"/>
        <v/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3" t="s">
        <v>695</v>
      </c>
      <c r="F122" s="203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9" t="s">
        <v>420</v>
      </c>
      <c r="M122" t="str">
        <f t="shared" si="6"/>
        <v/>
      </c>
      <c r="N122" t="str">
        <f t="shared" si="11"/>
        <v/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3" t="s">
        <v>696</v>
      </c>
      <c r="F123" s="20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9" t="s">
        <v>420</v>
      </c>
      <c r="M123" t="str">
        <f t="shared" si="6"/>
        <v/>
      </c>
      <c r="N123" t="str">
        <f t="shared" si="11"/>
        <v/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3" t="s">
        <v>697</v>
      </c>
      <c r="F124" s="203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9" t="s">
        <v>420</v>
      </c>
      <c r="M124" t="str">
        <f t="shared" si="6"/>
        <v/>
      </c>
      <c r="N124" t="str">
        <f t="shared" si="11"/>
        <v/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3" t="s">
        <v>698</v>
      </c>
      <c r="F125" s="203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9" t="s">
        <v>420</v>
      </c>
      <c r="M125" t="str">
        <f t="shared" si="6"/>
        <v/>
      </c>
      <c r="N125" t="str">
        <f t="shared" si="11"/>
        <v/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3" t="s">
        <v>699</v>
      </c>
      <c r="F126" s="203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9" t="s">
        <v>420</v>
      </c>
      <c r="M126" t="str">
        <f t="shared" si="6"/>
        <v/>
      </c>
      <c r="N126" t="str">
        <f t="shared" si="11"/>
        <v/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3" t="s">
        <v>700</v>
      </c>
      <c r="F127" s="203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9" t="s">
        <v>420</v>
      </c>
      <c r="M127" t="str">
        <f t="shared" si="6"/>
        <v/>
      </c>
      <c r="N127" t="str">
        <f t="shared" si="11"/>
        <v/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3" t="s">
        <v>701</v>
      </c>
      <c r="F128" s="203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9" t="s">
        <v>420</v>
      </c>
      <c r="M128" t="str">
        <f t="shared" si="6"/>
        <v/>
      </c>
      <c r="N128" t="str">
        <f t="shared" si="11"/>
        <v/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3" t="s">
        <v>702</v>
      </c>
      <c r="F129" s="203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9" t="s">
        <v>420</v>
      </c>
      <c r="M129" t="str">
        <f t="shared" si="6"/>
        <v/>
      </c>
      <c r="N129" t="str">
        <f t="shared" si="11"/>
        <v/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3" t="s">
        <v>703</v>
      </c>
      <c r="F130" s="203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9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/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3" t="s">
        <v>704</v>
      </c>
      <c r="F131" s="203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9" t="s">
        <v>420</v>
      </c>
      <c r="M131" t="str">
        <f t="shared" si="12"/>
        <v/>
      </c>
      <c r="N131" t="str">
        <f t="shared" si="11"/>
        <v/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3" t="s">
        <v>705</v>
      </c>
      <c r="F132" s="203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9" t="s">
        <v>420</v>
      </c>
      <c r="M132" t="str">
        <f t="shared" si="12"/>
        <v/>
      </c>
      <c r="N132" t="str">
        <f t="shared" ref="N132:N195" si="17">N131&amp;M132</f>
        <v/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3" t="s">
        <v>706</v>
      </c>
      <c r="F133" s="203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9" t="s">
        <v>420</v>
      </c>
      <c r="M133" t="str">
        <f t="shared" si="12"/>
        <v/>
      </c>
      <c r="N133" t="str">
        <f t="shared" si="17"/>
        <v/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3" t="s">
        <v>707</v>
      </c>
      <c r="F134" s="203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9" t="s">
        <v>420</v>
      </c>
      <c r="M134" t="str">
        <f t="shared" si="12"/>
        <v/>
      </c>
      <c r="N134" t="str">
        <f t="shared" si="17"/>
        <v/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3" t="s">
        <v>708</v>
      </c>
      <c r="F135" s="203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9" t="s">
        <v>420</v>
      </c>
      <c r="M135" t="str">
        <f t="shared" si="12"/>
        <v/>
      </c>
      <c r="N135" t="str">
        <f t="shared" si="17"/>
        <v/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3" t="s">
        <v>709</v>
      </c>
      <c r="F136" s="203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9" t="s">
        <v>420</v>
      </c>
      <c r="M136" t="str">
        <f t="shared" si="12"/>
        <v/>
      </c>
      <c r="N136" t="str">
        <f t="shared" si="17"/>
        <v/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3" t="s">
        <v>710</v>
      </c>
      <c r="F137" s="203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9" t="s">
        <v>420</v>
      </c>
      <c r="M137" t="str">
        <f t="shared" si="12"/>
        <v/>
      </c>
      <c r="N137" t="str">
        <f t="shared" si="17"/>
        <v/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3" t="s">
        <v>711</v>
      </c>
      <c r="F138" s="203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9" t="s">
        <v>420</v>
      </c>
      <c r="M138" t="str">
        <f t="shared" si="12"/>
        <v/>
      </c>
      <c r="N138" t="str">
        <f t="shared" si="17"/>
        <v/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3" t="s">
        <v>712</v>
      </c>
      <c r="F139" s="203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9" t="s">
        <v>420</v>
      </c>
      <c r="M139" t="str">
        <f t="shared" si="12"/>
        <v/>
      </c>
      <c r="N139" t="str">
        <f t="shared" si="17"/>
        <v/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3" t="s">
        <v>713</v>
      </c>
      <c r="F140" s="203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9" t="s">
        <v>420</v>
      </c>
      <c r="M140" t="str">
        <f t="shared" si="12"/>
        <v/>
      </c>
      <c r="N140" t="str">
        <f t="shared" si="17"/>
        <v/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3" t="s">
        <v>714</v>
      </c>
      <c r="F141" s="203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9" t="s">
        <v>420</v>
      </c>
      <c r="M141" t="str">
        <f t="shared" si="12"/>
        <v/>
      </c>
      <c r="N141" t="str">
        <f t="shared" si="17"/>
        <v/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3" t="s">
        <v>715</v>
      </c>
      <c r="F142" s="203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9" t="s">
        <v>420</v>
      </c>
      <c r="M142" t="str">
        <f t="shared" si="12"/>
        <v/>
      </c>
      <c r="N142" t="str">
        <f t="shared" si="17"/>
        <v/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3" t="s">
        <v>716</v>
      </c>
      <c r="F143" s="203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9" t="s">
        <v>420</v>
      </c>
      <c r="M143" t="str">
        <f t="shared" si="12"/>
        <v/>
      </c>
      <c r="N143" t="str">
        <f t="shared" si="17"/>
        <v/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3" t="s">
        <v>717</v>
      </c>
      <c r="F144" s="203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9" t="s">
        <v>420</v>
      </c>
      <c r="M144" t="str">
        <f t="shared" si="12"/>
        <v/>
      </c>
      <c r="N144" t="str">
        <f t="shared" si="17"/>
        <v/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3" t="s">
        <v>718</v>
      </c>
      <c r="F145" s="203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9" t="s">
        <v>420</v>
      </c>
      <c r="M145" t="str">
        <f t="shared" si="12"/>
        <v/>
      </c>
      <c r="N145" t="str">
        <f t="shared" si="17"/>
        <v/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3" t="s">
        <v>719</v>
      </c>
      <c r="F146" s="203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9" t="s">
        <v>420</v>
      </c>
      <c r="M146" t="str">
        <f t="shared" si="12"/>
        <v/>
      </c>
      <c r="N146" t="str">
        <f t="shared" si="17"/>
        <v/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3" t="s">
        <v>720</v>
      </c>
      <c r="F147" s="203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9" t="s">
        <v>420</v>
      </c>
      <c r="M147" t="str">
        <f t="shared" si="12"/>
        <v/>
      </c>
      <c r="N147" t="str">
        <f t="shared" si="17"/>
        <v/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3" t="s">
        <v>721</v>
      </c>
      <c r="F148" s="203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9" t="s">
        <v>420</v>
      </c>
      <c r="M148" t="str">
        <f t="shared" si="12"/>
        <v/>
      </c>
      <c r="N148" t="str">
        <f t="shared" si="17"/>
        <v/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3" t="s">
        <v>722</v>
      </c>
      <c r="F149" s="203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9" t="s">
        <v>420</v>
      </c>
      <c r="M149" t="str">
        <f t="shared" si="12"/>
        <v/>
      </c>
      <c r="N149" t="str">
        <f t="shared" si="17"/>
        <v/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3" t="s">
        <v>723</v>
      </c>
      <c r="F150" s="203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9" t="s">
        <v>420</v>
      </c>
      <c r="M150" t="str">
        <f t="shared" si="12"/>
        <v/>
      </c>
      <c r="N150" t="str">
        <f t="shared" si="17"/>
        <v/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3" t="s">
        <v>724</v>
      </c>
      <c r="F151" s="203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9" t="s">
        <v>420</v>
      </c>
      <c r="M151" t="str">
        <f t="shared" si="12"/>
        <v/>
      </c>
      <c r="N151" t="str">
        <f t="shared" si="17"/>
        <v/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3" t="s">
        <v>725</v>
      </c>
      <c r="F152" s="203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9" t="s">
        <v>420</v>
      </c>
      <c r="M152" t="str">
        <f t="shared" si="12"/>
        <v/>
      </c>
      <c r="N152" t="str">
        <f t="shared" si="17"/>
        <v/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3" t="s">
        <v>726</v>
      </c>
      <c r="F153" s="203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9" t="s">
        <v>420</v>
      </c>
      <c r="M153" t="str">
        <f t="shared" si="12"/>
        <v/>
      </c>
      <c r="N153" t="str">
        <f t="shared" si="17"/>
        <v/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3" t="s">
        <v>727</v>
      </c>
      <c r="F154" s="203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9" t="s">
        <v>420</v>
      </c>
      <c r="M154" t="str">
        <f t="shared" si="12"/>
        <v/>
      </c>
      <c r="N154" t="str">
        <f t="shared" si="17"/>
        <v/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3" t="s">
        <v>728</v>
      </c>
      <c r="F155" s="203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9" t="s">
        <v>420</v>
      </c>
      <c r="M155" t="str">
        <f t="shared" si="12"/>
        <v/>
      </c>
      <c r="N155" t="str">
        <f t="shared" si="17"/>
        <v/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3" t="s">
        <v>729</v>
      </c>
      <c r="F156" s="203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9" t="s">
        <v>420</v>
      </c>
      <c r="M156" t="str">
        <f t="shared" si="12"/>
        <v/>
      </c>
      <c r="N156" t="str">
        <f t="shared" si="17"/>
        <v/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3" t="s">
        <v>730</v>
      </c>
      <c r="F157" s="203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9" t="s">
        <v>420</v>
      </c>
      <c r="M157" t="str">
        <f t="shared" si="12"/>
        <v/>
      </c>
      <c r="N157" t="str">
        <f t="shared" si="17"/>
        <v/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3" t="s">
        <v>731</v>
      </c>
      <c r="F158" s="203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9" t="s">
        <v>420</v>
      </c>
      <c r="M158" t="str">
        <f t="shared" si="12"/>
        <v/>
      </c>
      <c r="N158" t="str">
        <f t="shared" si="17"/>
        <v/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3" t="s">
        <v>732</v>
      </c>
      <c r="F159" s="203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9" t="s">
        <v>420</v>
      </c>
      <c r="M159" t="str">
        <f t="shared" si="12"/>
        <v/>
      </c>
      <c r="N159" t="str">
        <f t="shared" si="17"/>
        <v/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3" t="s">
        <v>733</v>
      </c>
      <c r="F160" s="203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9" t="s">
        <v>420</v>
      </c>
      <c r="M160" t="str">
        <f t="shared" si="12"/>
        <v/>
      </c>
      <c r="N160" t="str">
        <f t="shared" si="17"/>
        <v/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3" t="s">
        <v>734</v>
      </c>
      <c r="F161" s="203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9" t="s">
        <v>420</v>
      </c>
      <c r="M161" t="str">
        <f t="shared" si="12"/>
        <v/>
      </c>
      <c r="N161" t="str">
        <f t="shared" si="17"/>
        <v/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3" t="s">
        <v>735</v>
      </c>
      <c r="F162" s="203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9" t="s">
        <v>420</v>
      </c>
      <c r="M162" t="str">
        <f t="shared" si="12"/>
        <v/>
      </c>
      <c r="N162" t="str">
        <f t="shared" si="17"/>
        <v/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3" t="s">
        <v>736</v>
      </c>
      <c r="F163" s="203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9" t="s">
        <v>420</v>
      </c>
      <c r="M163" t="str">
        <f t="shared" si="12"/>
        <v/>
      </c>
      <c r="N163" t="str">
        <f t="shared" si="17"/>
        <v/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3" t="s">
        <v>737</v>
      </c>
      <c r="F164" s="203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9" t="s">
        <v>420</v>
      </c>
      <c r="M164" t="str">
        <f t="shared" si="12"/>
        <v/>
      </c>
      <c r="N164" t="str">
        <f t="shared" si="17"/>
        <v/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3" t="s">
        <v>738</v>
      </c>
      <c r="F165" s="203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9" t="s">
        <v>420</v>
      </c>
      <c r="M165" t="str">
        <f t="shared" si="12"/>
        <v/>
      </c>
      <c r="N165" t="str">
        <f t="shared" si="17"/>
        <v/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3" t="s">
        <v>739</v>
      </c>
      <c r="F166" s="203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9" t="s">
        <v>420</v>
      </c>
      <c r="M166" t="str">
        <f t="shared" si="12"/>
        <v/>
      </c>
      <c r="N166" t="str">
        <f t="shared" si="17"/>
        <v/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3" t="s">
        <v>740</v>
      </c>
      <c r="F167" s="203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9" t="s">
        <v>420</v>
      </c>
      <c r="M167" t="str">
        <f t="shared" si="12"/>
        <v/>
      </c>
      <c r="N167" t="str">
        <f t="shared" si="17"/>
        <v/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3" t="s">
        <v>741</v>
      </c>
      <c r="F168" s="203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9" t="s">
        <v>420</v>
      </c>
      <c r="M168" t="str">
        <f t="shared" si="12"/>
        <v/>
      </c>
      <c r="N168" t="str">
        <f t="shared" si="17"/>
        <v/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3" t="s">
        <v>742</v>
      </c>
      <c r="F169" s="203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9" t="s">
        <v>420</v>
      </c>
      <c r="M169" t="str">
        <f t="shared" si="12"/>
        <v/>
      </c>
      <c r="N169" t="str">
        <f t="shared" si="17"/>
        <v/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3" t="s">
        <v>743</v>
      </c>
      <c r="F170" s="203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9" t="s">
        <v>420</v>
      </c>
      <c r="M170" t="str">
        <f t="shared" si="12"/>
        <v/>
      </c>
      <c r="N170" t="str">
        <f t="shared" si="17"/>
        <v/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3" t="s">
        <v>744</v>
      </c>
      <c r="F171" s="203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9" t="s">
        <v>420</v>
      </c>
      <c r="M171" t="str">
        <f t="shared" si="12"/>
        <v/>
      </c>
      <c r="N171" t="str">
        <f t="shared" si="17"/>
        <v/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3" t="s">
        <v>745</v>
      </c>
      <c r="F172" s="203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9" t="s">
        <v>420</v>
      </c>
      <c r="M172" t="str">
        <f t="shared" si="12"/>
        <v/>
      </c>
      <c r="N172" t="str">
        <f t="shared" si="17"/>
        <v/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3" t="s">
        <v>746</v>
      </c>
      <c r="F173" s="203">
        <v>14108</v>
      </c>
      <c r="G173" t="str">
        <f>LOOKUP(B173,ΠΕΡΙΦΕΡΕΙΑ!$A$2:$A$14,ΠΕΡΙΦΕΡΕΙΑ!$B$2:$B$14)</f>
        <v>Ολική</v>
      </c>
      <c r="H173" t="str">
        <f t="shared" si="13"/>
        <v/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9" t="s">
        <v>420</v>
      </c>
      <c r="M173" t="str">
        <f t="shared" si="12"/>
        <v/>
      </c>
      <c r="N173" t="str">
        <f t="shared" si="17"/>
        <v/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3" t="s">
        <v>747</v>
      </c>
      <c r="F174" s="203">
        <v>14146</v>
      </c>
      <c r="G174" t="str">
        <f>LOOKUP(B174,ΠΕΡΙΦΕΡΕΙΑ!$A$2:$A$14,ΠΕΡΙΦΕΡΕΙΑ!$B$2:$B$14)</f>
        <v>Ολική</v>
      </c>
      <c r="H174" t="str">
        <f t="shared" si="13"/>
        <v/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9" t="s">
        <v>420</v>
      </c>
      <c r="M174" t="str">
        <f t="shared" si="12"/>
        <v/>
      </c>
      <c r="N174" t="str">
        <f t="shared" si="17"/>
        <v/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3" t="s">
        <v>748</v>
      </c>
      <c r="F175" s="203">
        <v>14206</v>
      </c>
      <c r="G175" t="str">
        <f>LOOKUP(B175,ΠΕΡΙΦΕΡΕΙΑ!$A$2:$A$14,ΠΕΡΙΦΕΡΕΙΑ!$B$2:$B$14)</f>
        <v>Ολική</v>
      </c>
      <c r="H175" t="str">
        <f t="shared" si="13"/>
        <v/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9" t="s">
        <v>420</v>
      </c>
      <c r="M175" t="str">
        <f t="shared" si="12"/>
        <v/>
      </c>
      <c r="N175" t="str">
        <f t="shared" si="17"/>
        <v/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3" t="s">
        <v>749</v>
      </c>
      <c r="F176" s="203">
        <v>14208</v>
      </c>
      <c r="G176" t="str">
        <f>LOOKUP(B176,ΠΕΡΙΦΕΡΕΙΑ!$A$2:$A$14,ΠΕΡΙΦΕΡΕΙΑ!$B$2:$B$14)</f>
        <v>Ολική</v>
      </c>
      <c r="H176" t="str">
        <f t="shared" si="13"/>
        <v/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9" t="s">
        <v>420</v>
      </c>
      <c r="M176" t="str">
        <f t="shared" si="12"/>
        <v/>
      </c>
      <c r="N176" t="str">
        <f t="shared" si="17"/>
        <v/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3" t="s">
        <v>750</v>
      </c>
      <c r="F177" s="203">
        <v>14238</v>
      </c>
      <c r="G177" t="str">
        <f>LOOKUP(B177,ΠΕΡΙΦΕΡΕΙΑ!$A$2:$A$14,ΠΕΡΙΦΕΡΕΙΑ!$B$2:$B$14)</f>
        <v>Ολική</v>
      </c>
      <c r="H177" t="str">
        <f t="shared" si="13"/>
        <v/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9" t="s">
        <v>420</v>
      </c>
      <c r="M177" t="str">
        <f t="shared" si="12"/>
        <v/>
      </c>
      <c r="N177" t="str">
        <f t="shared" si="17"/>
        <v/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3" t="s">
        <v>751</v>
      </c>
      <c r="F178" s="203">
        <v>14284</v>
      </c>
      <c r="G178" t="str">
        <f>LOOKUP(B178,ΠΕΡΙΦΕΡΕΙΑ!$A$2:$A$14,ΠΕΡΙΦΕΡΕΙΑ!$B$2:$B$14)</f>
        <v>Ολική</v>
      </c>
      <c r="H178" t="str">
        <f t="shared" si="13"/>
        <v/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9" t="s">
        <v>420</v>
      </c>
      <c r="M178" t="str">
        <f t="shared" si="12"/>
        <v/>
      </c>
      <c r="N178" t="str">
        <f t="shared" si="17"/>
        <v/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3" t="s">
        <v>752</v>
      </c>
      <c r="F179" s="203">
        <v>14392</v>
      </c>
      <c r="G179" t="str">
        <f>LOOKUP(B179,ΠΕΡΙΦΕΡΕΙΑ!$A$2:$A$14,ΠΕΡΙΦΕΡΕΙΑ!$B$2:$B$14)</f>
        <v>Ολική</v>
      </c>
      <c r="H179" t="str">
        <f t="shared" si="13"/>
        <v/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9" t="s">
        <v>420</v>
      </c>
      <c r="M179" t="str">
        <f t="shared" si="12"/>
        <v/>
      </c>
      <c r="N179" t="str">
        <f t="shared" si="17"/>
        <v/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3" t="s">
        <v>753</v>
      </c>
      <c r="F180" s="203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9" t="s">
        <v>420</v>
      </c>
      <c r="M180" t="str">
        <f t="shared" si="12"/>
        <v/>
      </c>
      <c r="N180" t="str">
        <f t="shared" si="17"/>
        <v/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3" t="s">
        <v>754</v>
      </c>
      <c r="F181" s="203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9" t="s">
        <v>420</v>
      </c>
      <c r="M181" t="str">
        <f t="shared" si="12"/>
        <v/>
      </c>
      <c r="N181" t="str">
        <f t="shared" si="17"/>
        <v/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3" t="s">
        <v>755</v>
      </c>
      <c r="F182" s="203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9" t="s">
        <v>420</v>
      </c>
      <c r="M182" t="str">
        <f t="shared" si="12"/>
        <v/>
      </c>
      <c r="N182" t="str">
        <f t="shared" si="17"/>
        <v/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3" t="s">
        <v>756</v>
      </c>
      <c r="F183" s="203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9" t="s">
        <v>420</v>
      </c>
      <c r="M183" t="str">
        <f t="shared" si="12"/>
        <v/>
      </c>
      <c r="N183" t="str">
        <f t="shared" si="17"/>
        <v/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3" t="s">
        <v>757</v>
      </c>
      <c r="F184" s="203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9" t="s">
        <v>420</v>
      </c>
      <c r="M184" t="str">
        <f t="shared" si="12"/>
        <v/>
      </c>
      <c r="N184" t="str">
        <f t="shared" si="17"/>
        <v/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3" t="s">
        <v>758</v>
      </c>
      <c r="F185" s="203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9" t="s">
        <v>420</v>
      </c>
      <c r="M185" t="str">
        <f t="shared" si="12"/>
        <v/>
      </c>
      <c r="N185" t="str">
        <f t="shared" si="17"/>
        <v/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3" t="s">
        <v>759</v>
      </c>
      <c r="F186" s="203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9" t="s">
        <v>420</v>
      </c>
      <c r="M186" t="str">
        <f t="shared" si="12"/>
        <v/>
      </c>
      <c r="N186" t="str">
        <f t="shared" si="17"/>
        <v/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3" t="s">
        <v>760</v>
      </c>
      <c r="F187" s="203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9" t="s">
        <v>420</v>
      </c>
      <c r="M187" t="str">
        <f t="shared" si="12"/>
        <v/>
      </c>
      <c r="N187" t="str">
        <f t="shared" si="17"/>
        <v/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3" t="s">
        <v>761</v>
      </c>
      <c r="F188" s="203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9" t="s">
        <v>420</v>
      </c>
      <c r="M188" t="str">
        <f t="shared" si="12"/>
        <v/>
      </c>
      <c r="N188" t="str">
        <f t="shared" si="17"/>
        <v/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3" t="s">
        <v>762</v>
      </c>
      <c r="F189" s="203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9" t="s">
        <v>420</v>
      </c>
      <c r="M189" t="str">
        <f t="shared" si="12"/>
        <v/>
      </c>
      <c r="N189" t="str">
        <f t="shared" si="17"/>
        <v/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3" t="s">
        <v>763</v>
      </c>
      <c r="F190" s="203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9" t="s">
        <v>420</v>
      </c>
      <c r="M190" t="str">
        <f t="shared" si="12"/>
        <v/>
      </c>
      <c r="N190" t="str">
        <f t="shared" si="17"/>
        <v/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3" t="s">
        <v>764</v>
      </c>
      <c r="F191" s="203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9" t="s">
        <v>420</v>
      </c>
      <c r="M191" t="str">
        <f t="shared" si="12"/>
        <v/>
      </c>
      <c r="N191" t="str">
        <f t="shared" si="17"/>
        <v/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3" t="s">
        <v>765</v>
      </c>
      <c r="F192" s="203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9" t="s">
        <v>420</v>
      </c>
      <c r="M192" t="str">
        <f t="shared" si="12"/>
        <v/>
      </c>
      <c r="N192" t="str">
        <f t="shared" si="17"/>
        <v/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3" t="s">
        <v>766</v>
      </c>
      <c r="F193" s="203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9" t="s">
        <v>420</v>
      </c>
      <c r="M193" t="str">
        <f t="shared" si="12"/>
        <v/>
      </c>
      <c r="N193" t="str">
        <f t="shared" si="17"/>
        <v/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3" t="s">
        <v>767</v>
      </c>
      <c r="F194" s="203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9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/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3" t="s">
        <v>768</v>
      </c>
      <c r="F195" s="203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9" t="s">
        <v>420</v>
      </c>
      <c r="M195" t="str">
        <f t="shared" si="18"/>
        <v/>
      </c>
      <c r="N195" t="str">
        <f t="shared" si="17"/>
        <v/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3" t="s">
        <v>769</v>
      </c>
      <c r="F196" s="203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9" t="s">
        <v>420</v>
      </c>
      <c r="M196" t="str">
        <f t="shared" si="18"/>
        <v/>
      </c>
      <c r="N196" t="str">
        <f t="shared" ref="N196:N259" si="23">N195&amp;M196</f>
        <v/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3" t="s">
        <v>770</v>
      </c>
      <c r="F197" s="203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9" t="s">
        <v>420</v>
      </c>
      <c r="M197" t="str">
        <f t="shared" si="18"/>
        <v/>
      </c>
      <c r="N197" t="str">
        <f t="shared" si="23"/>
        <v/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3" t="s">
        <v>771</v>
      </c>
      <c r="F198" s="203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9" t="s">
        <v>420</v>
      </c>
      <c r="M198" t="str">
        <f t="shared" si="18"/>
        <v/>
      </c>
      <c r="N198" t="str">
        <f t="shared" si="23"/>
        <v/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3" t="s">
        <v>772</v>
      </c>
      <c r="F199" s="203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9" t="s">
        <v>420</v>
      </c>
      <c r="M199" t="str">
        <f t="shared" si="18"/>
        <v/>
      </c>
      <c r="N199" t="str">
        <f t="shared" si="23"/>
        <v/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3" t="s">
        <v>773</v>
      </c>
      <c r="F200" s="203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9" t="s">
        <v>420</v>
      </c>
      <c r="M200" t="str">
        <f t="shared" si="18"/>
        <v/>
      </c>
      <c r="N200" t="str">
        <f t="shared" si="23"/>
        <v/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3" t="s">
        <v>774</v>
      </c>
      <c r="F201" s="203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9" t="s">
        <v>420</v>
      </c>
      <c r="M201" t="str">
        <f t="shared" si="18"/>
        <v/>
      </c>
      <c r="N201" t="str">
        <f t="shared" si="23"/>
        <v/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3" t="s">
        <v>775</v>
      </c>
      <c r="F202" s="203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9" t="s">
        <v>420</v>
      </c>
      <c r="M202" t="str">
        <f t="shared" si="18"/>
        <v/>
      </c>
      <c r="N202" t="str">
        <f t="shared" si="23"/>
        <v/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3" t="s">
        <v>776</v>
      </c>
      <c r="F203" s="203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9" t="s">
        <v>420</v>
      </c>
      <c r="M203" t="str">
        <f t="shared" si="18"/>
        <v/>
      </c>
      <c r="N203" t="str">
        <f t="shared" si="23"/>
        <v/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3" t="s">
        <v>777</v>
      </c>
      <c r="F204" s="203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9" t="s">
        <v>420</v>
      </c>
      <c r="M204" t="str">
        <f t="shared" si="18"/>
        <v/>
      </c>
      <c r="N204" t="str">
        <f t="shared" si="23"/>
        <v/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3" t="s">
        <v>778</v>
      </c>
      <c r="F205" s="203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9" t="s">
        <v>420</v>
      </c>
      <c r="M205" t="str">
        <f t="shared" si="18"/>
        <v/>
      </c>
      <c r="N205" t="str">
        <f t="shared" si="23"/>
        <v/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3" t="s">
        <v>779</v>
      </c>
      <c r="F206" s="203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9" t="s">
        <v>420</v>
      </c>
      <c r="M206" t="str">
        <f t="shared" si="18"/>
        <v/>
      </c>
      <c r="N206" t="str">
        <f t="shared" si="23"/>
        <v/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3" t="s">
        <v>780</v>
      </c>
      <c r="F207" s="203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9" t="s">
        <v>420</v>
      </c>
      <c r="M207" t="str">
        <f t="shared" si="18"/>
        <v/>
      </c>
      <c r="N207" t="str">
        <f t="shared" si="23"/>
        <v/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3" t="s">
        <v>781</v>
      </c>
      <c r="F208" s="203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9" t="s">
        <v>420</v>
      </c>
      <c r="M208" t="str">
        <f t="shared" si="18"/>
        <v/>
      </c>
      <c r="N208" t="str">
        <f t="shared" si="23"/>
        <v/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3" t="s">
        <v>782</v>
      </c>
      <c r="F209" s="203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9" t="s">
        <v>420</v>
      </c>
      <c r="M209" t="str">
        <f t="shared" si="18"/>
        <v/>
      </c>
      <c r="N209" t="str">
        <f t="shared" si="23"/>
        <v/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3" t="s">
        <v>783</v>
      </c>
      <c r="F210" s="203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9" t="s">
        <v>420</v>
      </c>
      <c r="M210" t="str">
        <f t="shared" si="18"/>
        <v/>
      </c>
      <c r="N210" t="str">
        <f t="shared" si="23"/>
        <v/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3" t="s">
        <v>784</v>
      </c>
      <c r="F211" s="203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9" t="s">
        <v>420</v>
      </c>
      <c r="M211" t="str">
        <f t="shared" si="18"/>
        <v/>
      </c>
      <c r="N211" t="str">
        <f t="shared" si="23"/>
        <v/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3" t="s">
        <v>785</v>
      </c>
      <c r="F212" s="203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9" t="s">
        <v>420</v>
      </c>
      <c r="M212" t="str">
        <f t="shared" si="18"/>
        <v/>
      </c>
      <c r="N212" t="str">
        <f t="shared" si="23"/>
        <v/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3" t="s">
        <v>786</v>
      </c>
      <c r="F213" s="203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9" t="s">
        <v>420</v>
      </c>
      <c r="M213" t="str">
        <f t="shared" si="18"/>
        <v/>
      </c>
      <c r="N213" t="str">
        <f t="shared" si="23"/>
        <v/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3" t="s">
        <v>787</v>
      </c>
      <c r="F214" s="203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9" t="s">
        <v>420</v>
      </c>
      <c r="M214" t="str">
        <f t="shared" si="18"/>
        <v/>
      </c>
      <c r="N214" t="str">
        <f t="shared" si="23"/>
        <v/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3" t="s">
        <v>788</v>
      </c>
      <c r="F215" s="203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9" t="s">
        <v>420</v>
      </c>
      <c r="M215" t="str">
        <f t="shared" si="18"/>
        <v/>
      </c>
      <c r="N215" t="str">
        <f t="shared" si="23"/>
        <v/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3" t="s">
        <v>789</v>
      </c>
      <c r="F216" s="203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9" t="s">
        <v>420</v>
      </c>
      <c r="M216" t="str">
        <f t="shared" si="18"/>
        <v/>
      </c>
      <c r="N216" t="str">
        <f t="shared" si="23"/>
        <v/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3" t="s">
        <v>790</v>
      </c>
      <c r="F217" s="203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9" t="s">
        <v>420</v>
      </c>
      <c r="M217" t="str">
        <f t="shared" si="18"/>
        <v/>
      </c>
      <c r="N217" t="str">
        <f t="shared" si="23"/>
        <v/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3" t="s">
        <v>791</v>
      </c>
      <c r="F218" s="203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9" t="s">
        <v>420</v>
      </c>
      <c r="M218" t="str">
        <f t="shared" si="18"/>
        <v/>
      </c>
      <c r="N218" t="str">
        <f t="shared" si="23"/>
        <v/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3" t="s">
        <v>792</v>
      </c>
      <c r="F219" s="203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9" t="s">
        <v>420</v>
      </c>
      <c r="M219" t="str">
        <f t="shared" si="18"/>
        <v/>
      </c>
      <c r="N219" t="str">
        <f t="shared" si="23"/>
        <v/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3" t="s">
        <v>793</v>
      </c>
      <c r="F220" s="203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9" t="s">
        <v>420</v>
      </c>
      <c r="M220" t="str">
        <f t="shared" si="18"/>
        <v/>
      </c>
      <c r="N220" t="str">
        <f t="shared" si="23"/>
        <v/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3" t="s">
        <v>794</v>
      </c>
      <c r="F221" s="203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9" t="s">
        <v>420</v>
      </c>
      <c r="M221" t="str">
        <f t="shared" si="18"/>
        <v/>
      </c>
      <c r="N221" t="str">
        <f t="shared" si="23"/>
        <v/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3" t="s">
        <v>795</v>
      </c>
      <c r="F222" s="203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9" t="s">
        <v>420</v>
      </c>
      <c r="M222" t="str">
        <f t="shared" si="18"/>
        <v/>
      </c>
      <c r="N222" t="str">
        <f t="shared" si="23"/>
        <v/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3" t="s">
        <v>796</v>
      </c>
      <c r="F223" s="203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9" t="s">
        <v>420</v>
      </c>
      <c r="M223" t="str">
        <f t="shared" si="18"/>
        <v/>
      </c>
      <c r="N223" t="str">
        <f t="shared" si="23"/>
        <v/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3" t="s">
        <v>797</v>
      </c>
      <c r="F224" s="203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9" t="s">
        <v>420</v>
      </c>
      <c r="M224" t="str">
        <f t="shared" si="18"/>
        <v/>
      </c>
      <c r="N224" t="str">
        <f t="shared" si="23"/>
        <v/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3" t="s">
        <v>798</v>
      </c>
      <c r="F225" s="203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9" t="s">
        <v>420</v>
      </c>
      <c r="M225" t="str">
        <f t="shared" si="18"/>
        <v/>
      </c>
      <c r="N225" t="str">
        <f t="shared" si="23"/>
        <v/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3" t="s">
        <v>799</v>
      </c>
      <c r="F226" s="203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9" t="s">
        <v>420</v>
      </c>
      <c r="M226" t="str">
        <f t="shared" si="18"/>
        <v/>
      </c>
      <c r="N226" t="str">
        <f t="shared" si="23"/>
        <v/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3" t="s">
        <v>800</v>
      </c>
      <c r="F227" s="203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9" t="s">
        <v>420</v>
      </c>
      <c r="M227" t="str">
        <f t="shared" si="18"/>
        <v/>
      </c>
      <c r="N227" t="str">
        <f t="shared" si="23"/>
        <v/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3" t="s">
        <v>801</v>
      </c>
      <c r="F228" s="203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9" t="s">
        <v>420</v>
      </c>
      <c r="M228" t="str">
        <f t="shared" si="18"/>
        <v/>
      </c>
      <c r="N228" t="str">
        <f t="shared" si="23"/>
        <v/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3" t="s">
        <v>802</v>
      </c>
      <c r="F229" s="203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9" t="s">
        <v>420</v>
      </c>
      <c r="M229" t="str">
        <f t="shared" si="18"/>
        <v/>
      </c>
      <c r="N229" t="str">
        <f t="shared" si="23"/>
        <v/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3" t="s">
        <v>803</v>
      </c>
      <c r="F230" s="203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9" t="s">
        <v>420</v>
      </c>
      <c r="M230" t="str">
        <f t="shared" si="18"/>
        <v/>
      </c>
      <c r="N230" t="str">
        <f t="shared" si="23"/>
        <v/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3" t="s">
        <v>804</v>
      </c>
      <c r="F231" s="203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9" t="s">
        <v>420</v>
      </c>
      <c r="M231" t="str">
        <f t="shared" si="18"/>
        <v/>
      </c>
      <c r="N231" t="str">
        <f t="shared" si="23"/>
        <v/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3" t="s">
        <v>805</v>
      </c>
      <c r="F232" s="203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9" t="s">
        <v>420</v>
      </c>
      <c r="M232" t="str">
        <f t="shared" si="18"/>
        <v/>
      </c>
      <c r="N232" t="str">
        <f t="shared" si="23"/>
        <v/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3" t="s">
        <v>806</v>
      </c>
      <c r="F233" s="203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9" t="s">
        <v>420</v>
      </c>
      <c r="M233" t="str">
        <f t="shared" si="18"/>
        <v/>
      </c>
      <c r="N233" t="str">
        <f t="shared" si="23"/>
        <v/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3" t="s">
        <v>807</v>
      </c>
      <c r="F234" s="203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9" t="s">
        <v>420</v>
      </c>
      <c r="M234" t="str">
        <f t="shared" si="18"/>
        <v/>
      </c>
      <c r="N234" t="str">
        <f t="shared" si="23"/>
        <v/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3" t="s">
        <v>808</v>
      </c>
      <c r="F235" s="203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9" t="s">
        <v>420</v>
      </c>
      <c r="M235" t="str">
        <f t="shared" si="18"/>
        <v/>
      </c>
      <c r="N235" t="str">
        <f t="shared" si="23"/>
        <v/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3" t="s">
        <v>809</v>
      </c>
      <c r="F236" s="203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9" t="s">
        <v>420</v>
      </c>
      <c r="M236" t="str">
        <f t="shared" si="18"/>
        <v/>
      </c>
      <c r="N236" t="str">
        <f t="shared" si="23"/>
        <v/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3" t="s">
        <v>810</v>
      </c>
      <c r="F237" s="203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9" t="s">
        <v>420</v>
      </c>
      <c r="M237" t="str">
        <f t="shared" si="18"/>
        <v/>
      </c>
      <c r="N237" t="str">
        <f t="shared" si="23"/>
        <v/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3" t="s">
        <v>811</v>
      </c>
      <c r="F238" s="203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9" t="s">
        <v>420</v>
      </c>
      <c r="M238" t="str">
        <f t="shared" si="18"/>
        <v/>
      </c>
      <c r="N238" t="str">
        <f t="shared" si="23"/>
        <v/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3" t="s">
        <v>812</v>
      </c>
      <c r="F239" s="203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9" t="s">
        <v>420</v>
      </c>
      <c r="M239" t="str">
        <f t="shared" si="18"/>
        <v/>
      </c>
      <c r="N239" t="str">
        <f t="shared" si="23"/>
        <v/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3" t="s">
        <v>813</v>
      </c>
      <c r="F240" s="203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9" t="s">
        <v>420</v>
      </c>
      <c r="M240" t="str">
        <f t="shared" si="18"/>
        <v/>
      </c>
      <c r="N240" t="str">
        <f t="shared" si="23"/>
        <v/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3" t="s">
        <v>814</v>
      </c>
      <c r="F241" s="203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9" t="s">
        <v>420</v>
      </c>
      <c r="M241" t="str">
        <f t="shared" si="18"/>
        <v/>
      </c>
      <c r="N241" t="str">
        <f t="shared" si="23"/>
        <v/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3" t="s">
        <v>815</v>
      </c>
      <c r="F242" s="203">
        <v>13936</v>
      </c>
      <c r="G242" t="str">
        <f>LOOKUP(B242,ΠΕΡΙΦΕΡΕΙΑ!$A$2:$A$14,ΠΕΡΙΦΕΡΕΙΑ!$B$2:$B$14)</f>
        <v>Ολική</v>
      </c>
      <c r="H242" t="str">
        <f t="shared" si="19"/>
        <v/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9" t="s">
        <v>420</v>
      </c>
      <c r="M242" t="str">
        <f t="shared" si="18"/>
        <v/>
      </c>
      <c r="N242" t="str">
        <f t="shared" si="23"/>
        <v/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3" t="s">
        <v>816</v>
      </c>
      <c r="F243" s="203">
        <v>13966</v>
      </c>
      <c r="G243" t="str">
        <f>LOOKUP(B243,ΠΕΡΙΦΕΡΕΙΑ!$A$2:$A$14,ΠΕΡΙΦΕΡΕΙΑ!$B$2:$B$14)</f>
        <v>Ολική</v>
      </c>
      <c r="H243" t="str">
        <f t="shared" si="19"/>
        <v/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9" t="s">
        <v>420</v>
      </c>
      <c r="M243" t="str">
        <f t="shared" si="18"/>
        <v/>
      </c>
      <c r="N243" t="str">
        <f t="shared" si="23"/>
        <v/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3" t="s">
        <v>817</v>
      </c>
      <c r="F244" s="203">
        <v>13978</v>
      </c>
      <c r="G244" t="str">
        <f>LOOKUP(B244,ΠΕΡΙΦΕΡΕΙΑ!$A$2:$A$14,ΠΕΡΙΦΕΡΕΙΑ!$B$2:$B$14)</f>
        <v>Ολική</v>
      </c>
      <c r="H244" t="str">
        <f t="shared" si="19"/>
        <v/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9" t="s">
        <v>420</v>
      </c>
      <c r="M244" t="str">
        <f t="shared" si="18"/>
        <v/>
      </c>
      <c r="N244" t="str">
        <f t="shared" si="23"/>
        <v/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3" t="s">
        <v>818</v>
      </c>
      <c r="F245" s="203">
        <v>13988</v>
      </c>
      <c r="G245" t="str">
        <f>LOOKUP(B245,ΠΕΡΙΦΕΡΕΙΑ!$A$2:$A$14,ΠΕΡΙΦΕΡΕΙΑ!$B$2:$B$14)</f>
        <v>Ολική</v>
      </c>
      <c r="H245" t="str">
        <f t="shared" si="19"/>
        <v/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9" t="s">
        <v>420</v>
      </c>
      <c r="M245" t="str">
        <f t="shared" si="18"/>
        <v/>
      </c>
      <c r="N245" t="str">
        <f t="shared" si="23"/>
        <v/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3" t="s">
        <v>819</v>
      </c>
      <c r="F246" s="203">
        <v>13986</v>
      </c>
      <c r="G246" t="str">
        <f>LOOKUP(B246,ΠΕΡΙΦΕΡΕΙΑ!$A$2:$A$14,ΠΕΡΙΦΕΡΕΙΑ!$B$2:$B$14)</f>
        <v>Ολική</v>
      </c>
      <c r="H246" t="str">
        <f t="shared" si="19"/>
        <v/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9" t="s">
        <v>420</v>
      </c>
      <c r="M246" t="str">
        <f t="shared" si="18"/>
        <v/>
      </c>
      <c r="N246" t="str">
        <f t="shared" si="23"/>
        <v/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3" t="s">
        <v>820</v>
      </c>
      <c r="F247" s="203">
        <v>14006</v>
      </c>
      <c r="G247" t="str">
        <f>LOOKUP(B247,ΠΕΡΙΦΕΡΕΙΑ!$A$2:$A$14,ΠΕΡΙΦΕΡΕΙΑ!$B$2:$B$14)</f>
        <v>Ολική</v>
      </c>
      <c r="H247" t="str">
        <f t="shared" si="19"/>
        <v/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9" t="s">
        <v>420</v>
      </c>
      <c r="M247" t="str">
        <f t="shared" si="18"/>
        <v/>
      </c>
      <c r="N247" t="str">
        <f t="shared" si="23"/>
        <v/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3" t="s">
        <v>821</v>
      </c>
      <c r="F248" s="203">
        <v>14138</v>
      </c>
      <c r="G248" t="str">
        <f>LOOKUP(B248,ΠΕΡΙΦΕΡΕΙΑ!$A$2:$A$14,ΠΕΡΙΦΕΡΕΙΑ!$B$2:$B$14)</f>
        <v>Ολική</v>
      </c>
      <c r="H248" t="str">
        <f t="shared" si="19"/>
        <v/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9" t="s">
        <v>420</v>
      </c>
      <c r="M248" t="str">
        <f t="shared" si="18"/>
        <v/>
      </c>
      <c r="N248" t="str">
        <f t="shared" si="23"/>
        <v/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3" t="s">
        <v>822</v>
      </c>
      <c r="F249" s="203">
        <v>14144</v>
      </c>
      <c r="G249" t="str">
        <f>LOOKUP(B249,ΠΕΡΙΦΕΡΕΙΑ!$A$2:$A$14,ΠΕΡΙΦΕΡΕΙΑ!$B$2:$B$14)</f>
        <v>Ολική</v>
      </c>
      <c r="H249" t="str">
        <f t="shared" si="19"/>
        <v/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9" t="s">
        <v>420</v>
      </c>
      <c r="M249" t="str">
        <f t="shared" si="18"/>
        <v/>
      </c>
      <c r="N249" t="str">
        <f t="shared" si="23"/>
        <v/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3" t="s">
        <v>823</v>
      </c>
      <c r="F250" s="203">
        <v>14184</v>
      </c>
      <c r="G250" t="str">
        <f>LOOKUP(B250,ΠΕΡΙΦΕΡΕΙΑ!$A$2:$A$14,ΠΕΡΙΦΕΡΕΙΑ!$B$2:$B$14)</f>
        <v>Ολική</v>
      </c>
      <c r="H250" t="str">
        <f t="shared" si="19"/>
        <v/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9" t="s">
        <v>420</v>
      </c>
      <c r="M250" t="str">
        <f t="shared" si="18"/>
        <v/>
      </c>
      <c r="N250" t="str">
        <f t="shared" si="23"/>
        <v/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3" t="s">
        <v>824</v>
      </c>
      <c r="F251" s="203">
        <v>14190</v>
      </c>
      <c r="G251" t="str">
        <f>LOOKUP(B251,ΠΕΡΙΦΕΡΕΙΑ!$A$2:$A$14,ΠΕΡΙΦΕΡΕΙΑ!$B$2:$B$14)</f>
        <v>Ολική</v>
      </c>
      <c r="H251" t="str">
        <f t="shared" si="19"/>
        <v/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9" t="s">
        <v>420</v>
      </c>
      <c r="M251" t="str">
        <f t="shared" si="18"/>
        <v/>
      </c>
      <c r="N251" t="str">
        <f t="shared" si="23"/>
        <v/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3" t="s">
        <v>825</v>
      </c>
      <c r="F252" s="203">
        <v>14198</v>
      </c>
      <c r="G252" t="str">
        <f>LOOKUP(B252,ΠΕΡΙΦΕΡΕΙΑ!$A$2:$A$14,ΠΕΡΙΦΕΡΕΙΑ!$B$2:$B$14)</f>
        <v>Ολική</v>
      </c>
      <c r="H252" t="str">
        <f t="shared" si="19"/>
        <v/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9" t="s">
        <v>420</v>
      </c>
      <c r="M252" t="str">
        <f t="shared" si="18"/>
        <v/>
      </c>
      <c r="N252" t="str">
        <f t="shared" si="23"/>
        <v/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3" t="s">
        <v>826</v>
      </c>
      <c r="F253" s="203">
        <v>14204</v>
      </c>
      <c r="G253" t="str">
        <f>LOOKUP(B253,ΠΕΡΙΦΕΡΕΙΑ!$A$2:$A$14,ΠΕΡΙΦΕΡΕΙΑ!$B$2:$B$14)</f>
        <v>Ολική</v>
      </c>
      <c r="H253" t="str">
        <f t="shared" si="19"/>
        <v/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9" t="s">
        <v>420</v>
      </c>
      <c r="M253" t="str">
        <f t="shared" si="18"/>
        <v/>
      </c>
      <c r="N253" t="str">
        <f t="shared" si="23"/>
        <v/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3" t="s">
        <v>827</v>
      </c>
      <c r="F254" s="203">
        <v>14214</v>
      </c>
      <c r="G254" t="str">
        <f>LOOKUP(B254,ΠΕΡΙΦΕΡΕΙΑ!$A$2:$A$14,ΠΕΡΙΦΕΡΕΙΑ!$B$2:$B$14)</f>
        <v>Ολική</v>
      </c>
      <c r="H254" t="str">
        <f t="shared" si="19"/>
        <v/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9" t="s">
        <v>420</v>
      </c>
      <c r="M254" t="str">
        <f t="shared" si="18"/>
        <v/>
      </c>
      <c r="N254" t="str">
        <f t="shared" si="23"/>
        <v/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3" t="s">
        <v>828</v>
      </c>
      <c r="F255" s="203">
        <v>14232</v>
      </c>
      <c r="G255" t="str">
        <f>LOOKUP(B255,ΠΕΡΙΦΕΡΕΙΑ!$A$2:$A$14,ΠΕΡΙΦΕΡΕΙΑ!$B$2:$B$14)</f>
        <v>Ολική</v>
      </c>
      <c r="H255" t="str">
        <f t="shared" si="19"/>
        <v/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9" t="s">
        <v>420</v>
      </c>
      <c r="M255" t="str">
        <f t="shared" si="18"/>
        <v/>
      </c>
      <c r="N255" t="str">
        <f t="shared" si="23"/>
        <v/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3" t="s">
        <v>829</v>
      </c>
      <c r="F256" s="203">
        <v>14170</v>
      </c>
      <c r="G256" t="str">
        <f>LOOKUP(B256,ΠΕΡΙΦΕΡΕΙΑ!$A$2:$A$14,ΠΕΡΙΦΕΡΕΙΑ!$B$2:$B$14)</f>
        <v>Ολική</v>
      </c>
      <c r="H256" t="str">
        <f t="shared" si="19"/>
        <v/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9" t="s">
        <v>420</v>
      </c>
      <c r="M256" t="str">
        <f t="shared" si="18"/>
        <v/>
      </c>
      <c r="N256" t="str">
        <f t="shared" si="23"/>
        <v/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3" t="s">
        <v>830</v>
      </c>
      <c r="F257" s="203">
        <v>14252</v>
      </c>
      <c r="G257" t="str">
        <f>LOOKUP(B257,ΠΕΡΙΦΕΡΕΙΑ!$A$2:$A$14,ΠΕΡΙΦΕΡΕΙΑ!$B$2:$B$14)</f>
        <v>Ολική</v>
      </c>
      <c r="H257" t="str">
        <f t="shared" si="19"/>
        <v/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9" t="s">
        <v>420</v>
      </c>
      <c r="M257" t="str">
        <f t="shared" si="18"/>
        <v/>
      </c>
      <c r="N257" t="str">
        <f t="shared" si="23"/>
        <v/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3" t="s">
        <v>831</v>
      </c>
      <c r="F258" s="203">
        <v>14254</v>
      </c>
      <c r="G258" t="str">
        <f>LOOKUP(B258,ΠΕΡΙΦΕΡΕΙΑ!$A$2:$A$14,ΠΕΡΙΦΕΡΕΙΑ!$B$2:$B$14)</f>
        <v>Ολική</v>
      </c>
      <c r="H258" t="str">
        <f t="shared" si="19"/>
        <v/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9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/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3" t="s">
        <v>832</v>
      </c>
      <c r="F259" s="203">
        <v>14290</v>
      </c>
      <c r="G259" t="str">
        <f>LOOKUP(B259,ΠΕΡΙΦΕΡΕΙΑ!$A$2:$A$14,ΠΕΡΙΦΕΡΕΙΑ!$B$2:$B$14)</f>
        <v>Ολική</v>
      </c>
      <c r="H259" t="str">
        <f t="shared" ref="H259:H322" si="25">IF(G259="Μερική",A259,"")</f>
        <v/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9" t="s">
        <v>420</v>
      </c>
      <c r="M259" t="str">
        <f t="shared" si="24"/>
        <v/>
      </c>
      <c r="N259" t="str">
        <f t="shared" si="23"/>
        <v/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3" t="s">
        <v>833</v>
      </c>
      <c r="F260" s="203">
        <v>14296</v>
      </c>
      <c r="G260" t="str">
        <f>LOOKUP(B260,ΠΕΡΙΦΕΡΕΙΑ!$A$2:$A$14,ΠΕΡΙΦΕΡΕΙΑ!$B$2:$B$14)</f>
        <v>Ολική</v>
      </c>
      <c r="H260" t="str">
        <f t="shared" si="25"/>
        <v/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9" t="s">
        <v>420</v>
      </c>
      <c r="M260" t="str">
        <f t="shared" si="24"/>
        <v/>
      </c>
      <c r="N260" t="str">
        <f t="shared" ref="N260:N323" si="29">N259&amp;M260</f>
        <v/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3" t="s">
        <v>834</v>
      </c>
      <c r="F261" s="203">
        <v>14306</v>
      </c>
      <c r="G261" t="str">
        <f>LOOKUP(B261,ΠΕΡΙΦΕΡΕΙΑ!$A$2:$A$14,ΠΕΡΙΦΕΡΕΙΑ!$B$2:$B$14)</f>
        <v>Ολική</v>
      </c>
      <c r="H261" t="str">
        <f t="shared" si="25"/>
        <v/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9" t="s">
        <v>420</v>
      </c>
      <c r="M261" t="str">
        <f t="shared" si="24"/>
        <v/>
      </c>
      <c r="N261" t="str">
        <f t="shared" si="29"/>
        <v/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3" t="s">
        <v>835</v>
      </c>
      <c r="F262" s="203">
        <v>14310</v>
      </c>
      <c r="G262" t="str">
        <f>LOOKUP(B262,ΠΕΡΙΦΕΡΕΙΑ!$A$2:$A$14,ΠΕΡΙΦΕΡΕΙΑ!$B$2:$B$14)</f>
        <v>Ολική</v>
      </c>
      <c r="H262" t="str">
        <f t="shared" si="25"/>
        <v/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9" t="s">
        <v>420</v>
      </c>
      <c r="M262" t="str">
        <f t="shared" si="24"/>
        <v/>
      </c>
      <c r="N262" t="str">
        <f t="shared" si="29"/>
        <v/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3" t="s">
        <v>836</v>
      </c>
      <c r="F263" s="203">
        <v>14328</v>
      </c>
      <c r="G263" t="str">
        <f>LOOKUP(B263,ΠΕΡΙΦΕΡΕΙΑ!$A$2:$A$14,ΠΕΡΙΦΕΡΕΙΑ!$B$2:$B$14)</f>
        <v>Ολική</v>
      </c>
      <c r="H263" t="str">
        <f t="shared" si="25"/>
        <v/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9" t="s">
        <v>420</v>
      </c>
      <c r="M263" t="str">
        <f t="shared" si="24"/>
        <v/>
      </c>
      <c r="N263" t="str">
        <f t="shared" si="29"/>
        <v/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3" t="s">
        <v>837</v>
      </c>
      <c r="F264" s="203">
        <v>14400</v>
      </c>
      <c r="G264" t="str">
        <f>LOOKUP(B264,ΠΕΡΙΦΕΡΕΙΑ!$A$2:$A$14,ΠΕΡΙΦΕΡΕΙΑ!$B$2:$B$14)</f>
        <v>Ολική</v>
      </c>
      <c r="H264" t="str">
        <f t="shared" si="25"/>
        <v/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9" t="s">
        <v>420</v>
      </c>
      <c r="M264" t="str">
        <f t="shared" si="24"/>
        <v/>
      </c>
      <c r="N264" t="str">
        <f t="shared" si="29"/>
        <v/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3" t="s">
        <v>838</v>
      </c>
      <c r="F265" s="203">
        <v>14364</v>
      </c>
      <c r="G265" t="str">
        <f>LOOKUP(B265,ΠΕΡΙΦΕΡΕΙΑ!$A$2:$A$14,ΠΕΡΙΦΕΡΕΙΑ!$B$2:$B$14)</f>
        <v>Ολική</v>
      </c>
      <c r="H265" t="str">
        <f t="shared" si="25"/>
        <v/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9" t="s">
        <v>420</v>
      </c>
      <c r="M265" t="str">
        <f t="shared" si="24"/>
        <v/>
      </c>
      <c r="N265" t="str">
        <f t="shared" si="29"/>
        <v/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3" t="s">
        <v>839</v>
      </c>
      <c r="F266" s="203">
        <v>14436</v>
      </c>
      <c r="G266" t="str">
        <f>LOOKUP(B266,ΠΕΡΙΦΕΡΕΙΑ!$A$2:$A$14,ΠΕΡΙΦΕΡΕΙΑ!$B$2:$B$14)</f>
        <v>Ολική</v>
      </c>
      <c r="H266" t="str">
        <f t="shared" si="25"/>
        <v/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9" t="s">
        <v>420</v>
      </c>
      <c r="M266" t="str">
        <f t="shared" si="24"/>
        <v/>
      </c>
      <c r="N266" t="str">
        <f t="shared" si="29"/>
        <v/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3" t="s">
        <v>840</v>
      </c>
      <c r="F267" s="203">
        <v>14450</v>
      </c>
      <c r="G267" t="str">
        <f>LOOKUP(B267,ΠΕΡΙΦΕΡΕΙΑ!$A$2:$A$14,ΠΕΡΙΦΕΡΕΙΑ!$B$2:$B$14)</f>
        <v>Ολική</v>
      </c>
      <c r="H267" t="str">
        <f t="shared" si="25"/>
        <v/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9" t="s">
        <v>420</v>
      </c>
      <c r="M267" t="str">
        <f t="shared" si="24"/>
        <v/>
      </c>
      <c r="N267" t="str">
        <f t="shared" si="29"/>
        <v/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3" t="s">
        <v>841</v>
      </c>
      <c r="F268" s="203">
        <v>14458</v>
      </c>
      <c r="G268" t="str">
        <f>LOOKUP(B268,ΠΕΡΙΦΕΡΕΙΑ!$A$2:$A$14,ΠΕΡΙΦΕΡΕΙΑ!$B$2:$B$14)</f>
        <v>Ολική</v>
      </c>
      <c r="H268" t="str">
        <f t="shared" si="25"/>
        <v/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9" t="s">
        <v>420</v>
      </c>
      <c r="M268" t="str">
        <f t="shared" si="24"/>
        <v/>
      </c>
      <c r="N268" t="str">
        <f t="shared" si="29"/>
        <v/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3" t="s">
        <v>842</v>
      </c>
      <c r="F269" s="203">
        <v>14464</v>
      </c>
      <c r="G269" t="str">
        <f>LOOKUP(B269,ΠΕΡΙΦΕΡΕΙΑ!$A$2:$A$14,ΠΕΡΙΦΕΡΕΙΑ!$B$2:$B$14)</f>
        <v>Ολική</v>
      </c>
      <c r="H269" t="str">
        <f t="shared" si="25"/>
        <v/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9" t="s">
        <v>420</v>
      </c>
      <c r="M269" t="str">
        <f t="shared" si="24"/>
        <v/>
      </c>
      <c r="N269" t="str">
        <f t="shared" si="29"/>
        <v/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3" t="s">
        <v>843</v>
      </c>
      <c r="F270" s="203">
        <v>14486</v>
      </c>
      <c r="G270" t="str">
        <f>LOOKUP(B270,ΠΕΡΙΦΕΡΕΙΑ!$A$2:$A$14,ΠΕΡΙΦΕΡΕΙΑ!$B$2:$B$14)</f>
        <v>Ολική</v>
      </c>
      <c r="H270" t="str">
        <f t="shared" si="25"/>
        <v/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9" t="s">
        <v>420</v>
      </c>
      <c r="M270" t="str">
        <f t="shared" si="24"/>
        <v/>
      </c>
      <c r="N270" t="str">
        <f t="shared" si="29"/>
        <v/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3" t="s">
        <v>844</v>
      </c>
      <c r="F271" s="203">
        <v>14488</v>
      </c>
      <c r="G271" t="str">
        <f>LOOKUP(B271,ΠΕΡΙΦΕΡΕΙΑ!$A$2:$A$14,ΠΕΡΙΦΕΡΕΙΑ!$B$2:$B$14)</f>
        <v>Ολική</v>
      </c>
      <c r="H271" t="str">
        <f t="shared" si="25"/>
        <v/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9" t="s">
        <v>420</v>
      </c>
      <c r="M271" t="str">
        <f t="shared" si="24"/>
        <v/>
      </c>
      <c r="N271" t="str">
        <f t="shared" si="29"/>
        <v/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3" t="s">
        <v>845</v>
      </c>
      <c r="F272" s="203">
        <v>14496</v>
      </c>
      <c r="G272" t="str">
        <f>LOOKUP(B272,ΠΕΡΙΦΕΡΕΙΑ!$A$2:$A$14,ΠΕΡΙΦΕΡΕΙΑ!$B$2:$B$14)</f>
        <v>Ολική</v>
      </c>
      <c r="H272" t="str">
        <f t="shared" si="25"/>
        <v/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9" t="s">
        <v>420</v>
      </c>
      <c r="M272" t="str">
        <f t="shared" si="24"/>
        <v/>
      </c>
      <c r="N272" t="str">
        <f t="shared" si="29"/>
        <v/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3" t="s">
        <v>846</v>
      </c>
      <c r="F273" s="203">
        <v>14498</v>
      </c>
      <c r="G273" t="str">
        <f>LOOKUP(B273,ΠΕΡΙΦΕΡΕΙΑ!$A$2:$A$14,ΠΕΡΙΦΕΡΕΙΑ!$B$2:$B$14)</f>
        <v>Ολική</v>
      </c>
      <c r="H273" t="str">
        <f t="shared" si="25"/>
        <v/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9" t="s">
        <v>420</v>
      </c>
      <c r="M273" t="str">
        <f t="shared" si="24"/>
        <v/>
      </c>
      <c r="N273" t="str">
        <f t="shared" si="29"/>
        <v/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3" t="s">
        <v>847</v>
      </c>
      <c r="F274" s="203">
        <v>14522</v>
      </c>
      <c r="G274" t="str">
        <f>LOOKUP(B274,ΠΕΡΙΦΕΡΕΙΑ!$A$2:$A$14,ΠΕΡΙΦΕΡΕΙΑ!$B$2:$B$14)</f>
        <v>Ολική</v>
      </c>
      <c r="H274" t="str">
        <f t="shared" si="25"/>
        <v/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9" t="s">
        <v>420</v>
      </c>
      <c r="M274" t="str">
        <f t="shared" si="24"/>
        <v/>
      </c>
      <c r="N274" t="str">
        <f t="shared" si="29"/>
        <v/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3" t="s">
        <v>848</v>
      </c>
      <c r="F275" s="203">
        <v>14536</v>
      </c>
      <c r="G275" t="str">
        <f>LOOKUP(B275,ΠΕΡΙΦΕΡΕΙΑ!$A$2:$A$14,ΠΕΡΙΦΕΡΕΙΑ!$B$2:$B$14)</f>
        <v>Ολική</v>
      </c>
      <c r="H275" t="str">
        <f t="shared" si="25"/>
        <v/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9" t="s">
        <v>420</v>
      </c>
      <c r="M275" t="str">
        <f t="shared" si="24"/>
        <v/>
      </c>
      <c r="N275" t="str">
        <f t="shared" si="29"/>
        <v/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3" t="s">
        <v>849</v>
      </c>
      <c r="F276" s="203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9" t="s">
        <v>420</v>
      </c>
      <c r="M276" t="str">
        <f t="shared" si="24"/>
        <v/>
      </c>
      <c r="N276" t="str">
        <f t="shared" si="29"/>
        <v/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3" t="s">
        <v>850</v>
      </c>
      <c r="F277" s="203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9" t="s">
        <v>420</v>
      </c>
      <c r="M277" t="str">
        <f t="shared" si="24"/>
        <v/>
      </c>
      <c r="N277" t="str">
        <f t="shared" si="29"/>
        <v/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3" t="s">
        <v>851</v>
      </c>
      <c r="F278" s="203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9" t="s">
        <v>420</v>
      </c>
      <c r="M278" t="str">
        <f t="shared" si="24"/>
        <v/>
      </c>
      <c r="N278" t="str">
        <f t="shared" si="29"/>
        <v/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3" t="s">
        <v>852</v>
      </c>
      <c r="F279" s="203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9" t="s">
        <v>420</v>
      </c>
      <c r="M279" t="str">
        <f t="shared" si="24"/>
        <v/>
      </c>
      <c r="N279" t="str">
        <f t="shared" si="29"/>
        <v/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3" t="s">
        <v>853</v>
      </c>
      <c r="F280" s="203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9" t="s">
        <v>420</v>
      </c>
      <c r="M280" t="str">
        <f t="shared" si="24"/>
        <v/>
      </c>
      <c r="N280" t="str">
        <f t="shared" si="29"/>
        <v/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3" t="s">
        <v>854</v>
      </c>
      <c r="F281" s="203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9" t="s">
        <v>420</v>
      </c>
      <c r="M281" t="str">
        <f t="shared" si="24"/>
        <v/>
      </c>
      <c r="N281" t="str">
        <f t="shared" si="29"/>
        <v/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3" t="s">
        <v>855</v>
      </c>
      <c r="F282" s="203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9" t="s">
        <v>420</v>
      </c>
      <c r="M282" t="str">
        <f t="shared" si="24"/>
        <v/>
      </c>
      <c r="N282" t="str">
        <f t="shared" si="29"/>
        <v/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3" t="s">
        <v>856</v>
      </c>
      <c r="F283" s="203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9" t="s">
        <v>420</v>
      </c>
      <c r="M283" t="str">
        <f t="shared" si="24"/>
        <v/>
      </c>
      <c r="N283" t="str">
        <f t="shared" si="29"/>
        <v/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3" t="s">
        <v>857</v>
      </c>
      <c r="F284" s="203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9" t="s">
        <v>420</v>
      </c>
      <c r="M284" t="str">
        <f t="shared" si="24"/>
        <v/>
      </c>
      <c r="N284" t="str">
        <f t="shared" si="29"/>
        <v/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3" t="s">
        <v>858</v>
      </c>
      <c r="F285" s="203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9" t="s">
        <v>420</v>
      </c>
      <c r="M285" t="str">
        <f t="shared" si="24"/>
        <v/>
      </c>
      <c r="N285" t="str">
        <f t="shared" si="29"/>
        <v/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3" t="s">
        <v>859</v>
      </c>
      <c r="F286" s="203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9" t="s">
        <v>420</v>
      </c>
      <c r="M286" t="str">
        <f t="shared" si="24"/>
        <v/>
      </c>
      <c r="N286" t="str">
        <f t="shared" si="29"/>
        <v/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3" t="s">
        <v>860</v>
      </c>
      <c r="F287" s="203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9" t="s">
        <v>420</v>
      </c>
      <c r="M287" t="str">
        <f t="shared" si="24"/>
        <v/>
      </c>
      <c r="N287" t="str">
        <f t="shared" si="29"/>
        <v/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3" t="s">
        <v>861</v>
      </c>
      <c r="F288" s="203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9" t="s">
        <v>420</v>
      </c>
      <c r="M288" t="str">
        <f t="shared" si="24"/>
        <v/>
      </c>
      <c r="N288" t="str">
        <f t="shared" si="29"/>
        <v/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3" t="s">
        <v>862</v>
      </c>
      <c r="F289" s="203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9" t="s">
        <v>420</v>
      </c>
      <c r="M289" t="str">
        <f t="shared" si="24"/>
        <v/>
      </c>
      <c r="N289" t="str">
        <f t="shared" si="29"/>
        <v/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3" t="s">
        <v>863</v>
      </c>
      <c r="F290" s="203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9" t="s">
        <v>420</v>
      </c>
      <c r="M290" t="str">
        <f t="shared" si="24"/>
        <v/>
      </c>
      <c r="N290" t="str">
        <f t="shared" si="29"/>
        <v/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3" t="s">
        <v>864</v>
      </c>
      <c r="F291" s="203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9" t="s">
        <v>420</v>
      </c>
      <c r="M291" t="str">
        <f t="shared" si="24"/>
        <v/>
      </c>
      <c r="N291" t="str">
        <f t="shared" si="29"/>
        <v/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3" t="s">
        <v>865</v>
      </c>
      <c r="F292" s="203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9" t="s">
        <v>420</v>
      </c>
      <c r="M292" t="str">
        <f t="shared" si="24"/>
        <v/>
      </c>
      <c r="N292" t="str">
        <f t="shared" si="29"/>
        <v/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3" t="s">
        <v>866</v>
      </c>
      <c r="F293" s="203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9" t="s">
        <v>420</v>
      </c>
      <c r="M293" t="str">
        <f t="shared" si="24"/>
        <v/>
      </c>
      <c r="N293" t="str">
        <f t="shared" si="29"/>
        <v/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3" t="s">
        <v>867</v>
      </c>
      <c r="F294" s="203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9" t="s">
        <v>420</v>
      </c>
      <c r="M294" t="str">
        <f t="shared" si="24"/>
        <v/>
      </c>
      <c r="N294" t="str">
        <f t="shared" si="29"/>
        <v/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3" t="s">
        <v>868</v>
      </c>
      <c r="F295" s="203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9" t="s">
        <v>420</v>
      </c>
      <c r="M295" t="str">
        <f t="shared" si="24"/>
        <v/>
      </c>
      <c r="N295" t="str">
        <f t="shared" si="29"/>
        <v/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3" t="s">
        <v>869</v>
      </c>
      <c r="F296" s="203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9" t="s">
        <v>420</v>
      </c>
      <c r="M296" t="str">
        <f t="shared" si="24"/>
        <v/>
      </c>
      <c r="N296" t="str">
        <f t="shared" si="29"/>
        <v/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3" t="s">
        <v>870</v>
      </c>
      <c r="F297" s="203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9" t="s">
        <v>420</v>
      </c>
      <c r="M297" t="str">
        <f t="shared" si="24"/>
        <v/>
      </c>
      <c r="N297" t="str">
        <f t="shared" si="29"/>
        <v/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3" t="s">
        <v>871</v>
      </c>
      <c r="F298" s="203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9" t="s">
        <v>420</v>
      </c>
      <c r="M298" t="str">
        <f t="shared" si="24"/>
        <v/>
      </c>
      <c r="N298" t="str">
        <f t="shared" si="29"/>
        <v/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3" t="s">
        <v>872</v>
      </c>
      <c r="F299" s="203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9" t="s">
        <v>420</v>
      </c>
      <c r="M299" t="str">
        <f t="shared" si="24"/>
        <v/>
      </c>
      <c r="N299" t="str">
        <f t="shared" si="29"/>
        <v/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3" t="s">
        <v>873</v>
      </c>
      <c r="F300" s="203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9" t="s">
        <v>420</v>
      </c>
      <c r="M300" t="str">
        <f t="shared" si="24"/>
        <v/>
      </c>
      <c r="N300" t="str">
        <f t="shared" si="29"/>
        <v/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3" t="s">
        <v>874</v>
      </c>
      <c r="F301" s="203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9" t="s">
        <v>420</v>
      </c>
      <c r="M301" t="str">
        <f t="shared" si="24"/>
        <v/>
      </c>
      <c r="N301" t="str">
        <f t="shared" si="29"/>
        <v/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3" t="s">
        <v>875</v>
      </c>
      <c r="F302" s="203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9" t="s">
        <v>420</v>
      </c>
      <c r="M302" t="str">
        <f t="shared" si="24"/>
        <v/>
      </c>
      <c r="N302" t="str">
        <f t="shared" si="29"/>
        <v/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3" t="s">
        <v>876</v>
      </c>
      <c r="F303" s="203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9" t="s">
        <v>420</v>
      </c>
      <c r="M303" t="str">
        <f t="shared" si="24"/>
        <v/>
      </c>
      <c r="N303" t="str">
        <f t="shared" si="29"/>
        <v/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3" t="s">
        <v>877</v>
      </c>
      <c r="F304" s="203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9" t="s">
        <v>420</v>
      </c>
      <c r="M304" t="str">
        <f t="shared" si="24"/>
        <v/>
      </c>
      <c r="N304" t="str">
        <f t="shared" si="29"/>
        <v/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3" t="s">
        <v>878</v>
      </c>
      <c r="F305" s="203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9" t="s">
        <v>420</v>
      </c>
      <c r="M305" t="str">
        <f t="shared" si="24"/>
        <v/>
      </c>
      <c r="N305" t="str">
        <f t="shared" si="29"/>
        <v/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3" t="s">
        <v>879</v>
      </c>
      <c r="F306" s="203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9" t="s">
        <v>420</v>
      </c>
      <c r="M306" t="str">
        <f t="shared" si="24"/>
        <v/>
      </c>
      <c r="N306" t="str">
        <f t="shared" si="29"/>
        <v/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3" t="s">
        <v>880</v>
      </c>
      <c r="F307" s="203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9" t="s">
        <v>420</v>
      </c>
      <c r="M307" t="str">
        <f t="shared" si="24"/>
        <v/>
      </c>
      <c r="N307" t="str">
        <f t="shared" si="29"/>
        <v/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3" t="s">
        <v>881</v>
      </c>
      <c r="F308" s="203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9" t="s">
        <v>420</v>
      </c>
      <c r="M308" t="str">
        <f t="shared" si="24"/>
        <v/>
      </c>
      <c r="N308" t="str">
        <f t="shared" si="29"/>
        <v/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3" t="s">
        <v>882</v>
      </c>
      <c r="F309" s="203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9" t="s">
        <v>420</v>
      </c>
      <c r="M309" t="str">
        <f t="shared" si="24"/>
        <v/>
      </c>
      <c r="N309" t="str">
        <f t="shared" si="29"/>
        <v/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3" t="s">
        <v>883</v>
      </c>
      <c r="F310" s="203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9" t="s">
        <v>420</v>
      </c>
      <c r="M310" t="str">
        <f t="shared" si="24"/>
        <v/>
      </c>
      <c r="N310" t="str">
        <f t="shared" si="29"/>
        <v/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3" t="s">
        <v>884</v>
      </c>
      <c r="F311" s="203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9" t="s">
        <v>420</v>
      </c>
      <c r="M311" t="str">
        <f t="shared" si="24"/>
        <v/>
      </c>
      <c r="N311" t="str">
        <f t="shared" si="29"/>
        <v/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3" t="s">
        <v>885</v>
      </c>
      <c r="F312" s="203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9" t="s">
        <v>420</v>
      </c>
      <c r="M312" t="str">
        <f t="shared" si="24"/>
        <v/>
      </c>
      <c r="N312" t="str">
        <f t="shared" si="29"/>
        <v/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3" t="s">
        <v>886</v>
      </c>
      <c r="F313" s="203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9" t="s">
        <v>420</v>
      </c>
      <c r="M313" t="str">
        <f t="shared" si="24"/>
        <v/>
      </c>
      <c r="N313" t="str">
        <f t="shared" si="29"/>
        <v/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3" t="s">
        <v>887</v>
      </c>
      <c r="F314" s="203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9" t="s">
        <v>420</v>
      </c>
      <c r="M314" t="str">
        <f t="shared" si="24"/>
        <v/>
      </c>
      <c r="N314" t="str">
        <f t="shared" si="29"/>
        <v/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3" t="s">
        <v>888</v>
      </c>
      <c r="F315" s="203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9" t="s">
        <v>420</v>
      </c>
      <c r="M315" t="str">
        <f t="shared" si="24"/>
        <v/>
      </c>
      <c r="N315" t="str">
        <f t="shared" si="29"/>
        <v/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3" t="s">
        <v>889</v>
      </c>
      <c r="F316" s="203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9" t="s">
        <v>420</v>
      </c>
      <c r="M316" t="str">
        <f t="shared" si="24"/>
        <v/>
      </c>
      <c r="N316" t="str">
        <f t="shared" si="29"/>
        <v/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3" t="s">
        <v>890</v>
      </c>
      <c r="F317" s="203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9" t="s">
        <v>420</v>
      </c>
      <c r="M317" t="str">
        <f t="shared" si="24"/>
        <v/>
      </c>
      <c r="N317" t="str">
        <f t="shared" si="29"/>
        <v/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3" t="s">
        <v>891</v>
      </c>
      <c r="F318" s="203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9" t="s">
        <v>420</v>
      </c>
      <c r="M318" t="str">
        <f t="shared" si="24"/>
        <v/>
      </c>
      <c r="N318" t="str">
        <f t="shared" si="29"/>
        <v/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3" t="s">
        <v>892</v>
      </c>
      <c r="F319" s="203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9" t="s">
        <v>420</v>
      </c>
      <c r="M319" t="str">
        <f t="shared" si="24"/>
        <v/>
      </c>
      <c r="N319" t="str">
        <f t="shared" si="29"/>
        <v/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3" t="s">
        <v>893</v>
      </c>
      <c r="F320" s="203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9" t="s">
        <v>420</v>
      </c>
      <c r="M320" t="str">
        <f t="shared" si="24"/>
        <v/>
      </c>
      <c r="N320" t="str">
        <f t="shared" si="29"/>
        <v/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3" t="s">
        <v>894</v>
      </c>
      <c r="F321" s="203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9" t="s">
        <v>420</v>
      </c>
      <c r="M321" t="str">
        <f t="shared" si="24"/>
        <v/>
      </c>
      <c r="N321" t="str">
        <f t="shared" si="29"/>
        <v/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3" t="s">
        <v>895</v>
      </c>
      <c r="F322" s="203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9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/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3" t="s">
        <v>896</v>
      </c>
      <c r="F323" s="203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9" t="s">
        <v>420</v>
      </c>
      <c r="M323" t="str">
        <f t="shared" si="30"/>
        <v/>
      </c>
      <c r="N323" t="str">
        <f t="shared" si="29"/>
        <v/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3" t="s">
        <v>897</v>
      </c>
      <c r="F324" s="203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9" t="s">
        <v>420</v>
      </c>
      <c r="M324" t="str">
        <f t="shared" si="30"/>
        <v/>
      </c>
      <c r="N324" t="str">
        <f t="shared" ref="N324:N326" si="35">N323&amp;M324</f>
        <v/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3" t="s">
        <v>898</v>
      </c>
      <c r="F325" s="203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9" t="s">
        <v>420</v>
      </c>
      <c r="M325" t="str">
        <f t="shared" si="30"/>
        <v/>
      </c>
      <c r="N325" t="str">
        <f t="shared" si="35"/>
        <v/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3" t="s">
        <v>899</v>
      </c>
      <c r="F326" s="203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9" t="s">
        <v>420</v>
      </c>
      <c r="M326" t="str">
        <f t="shared" si="30"/>
        <v/>
      </c>
      <c r="N326" t="str">
        <f t="shared" si="35"/>
        <v/>
      </c>
    </row>
  </sheetData>
  <sheetProtection algorithmName="SHA-512" hashValue="tLVTy9Q6xFkHZQmqi6KjIlSQCYJ2fiFmrdX94n7+xkNpOB/Y8oTXeFO1SryP1Rf+pK7Jcj2B9ZtF+YbygsuouA==" saltValue="jEM/9IHNe0KlJoDO0lfu9g==" spinCount="100000" sheet="1" objects="1" scenarios="1" selectLockedCells="1"/>
  <sortState ref="B2:D326">
    <sortCondition ref="B2:B326"/>
    <sortCondition ref="D2:D326"/>
  </sortState>
  <dataValidations count="1">
    <dataValidation type="list" allowBlank="1" showInputMessage="1" showErrorMessage="1" sqref="L2:L326">
      <formula1>DimosCoverage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>
      <selection activeCell="G326" sqref="G326"/>
    </sheetView>
  </sheetViews>
  <sheetFormatPr defaultRowHeight="15" zeroHeight="1" x14ac:dyDescent="0.25"/>
  <cols>
    <col min="1" max="1" width="9.140625" style="205" customWidth="1"/>
    <col min="2" max="4" width="37.140625" customWidth="1"/>
    <col min="5" max="5" width="65.42578125" customWidth="1"/>
    <col min="6" max="6" width="30" style="203" customWidth="1"/>
    <col min="7" max="7" width="6" style="203" bestFit="1" customWidth="1"/>
    <col min="8" max="8" width="16.140625" customWidth="1"/>
    <col min="9" max="9" width="24" customWidth="1"/>
    <col min="10" max="10" width="26.7109375" customWidth="1"/>
    <col min="11" max="11" width="9.140625" style="205" customWidth="1"/>
    <col min="12" max="12" width="46.42578125" style="84" customWidth="1"/>
    <col min="13" max="13" width="58.28515625" style="84" customWidth="1"/>
    <col min="14" max="14" width="8.42578125" style="84" bestFit="1" customWidth="1"/>
    <col min="15" max="15" width="23.42578125" style="84" customWidth="1"/>
    <col min="16" max="16384" width="9.140625" style="84"/>
  </cols>
  <sheetData>
    <row r="1" spans="1:15" x14ac:dyDescent="0.25">
      <c r="A1" s="206" t="s">
        <v>417</v>
      </c>
      <c r="B1" s="25" t="s">
        <v>415</v>
      </c>
      <c r="C1" s="25" t="s">
        <v>38</v>
      </c>
      <c r="D1" s="25" t="s">
        <v>416</v>
      </c>
      <c r="E1" s="25"/>
      <c r="F1" s="25"/>
      <c r="G1" s="25"/>
      <c r="H1" s="25"/>
      <c r="I1" s="26"/>
      <c r="J1" s="26"/>
      <c r="K1" s="204"/>
      <c r="L1" s="25" t="s">
        <v>415</v>
      </c>
      <c r="M1" s="25" t="s">
        <v>496</v>
      </c>
      <c r="N1" s="25"/>
      <c r="O1" s="25"/>
    </row>
    <row r="2" spans="1:15" x14ac:dyDescent="0.25">
      <c r="A2" s="205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31" t="s">
        <v>576</v>
      </c>
      <c r="G2" s="231">
        <v>13920</v>
      </c>
      <c r="H2" t="str">
        <f>IFERROR(INDEX(DimosNaiOxi,MATCH(ΤΚ!E2,DimosNai,0)),"")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205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203">
        <f t="shared" ref="N2:N66" si="4">IF(ISNUMBER(K2),LOOKUP(K2,A:A,G:G),"")</f>
        <v>13920</v>
      </c>
      <c r="O2" s="203" t="str">
        <f>IF(ISNUMBER(K2),LOOKUP(K2,A:A,F:F),"")</f>
        <v>Αβδήρων</v>
      </c>
    </row>
    <row r="3" spans="1:15" x14ac:dyDescent="0.25">
      <c r="A3" s="205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31" t="s">
        <v>577</v>
      </c>
      <c r="G3" s="231">
        <v>13956</v>
      </c>
      <c r="H3" t="str">
        <f>IFERROR(INDEX(DimosNaiOxi,MATCH(ΤΚ!E3,DimosNai,0)),"")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205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203">
        <f t="shared" si="4"/>
        <v>13956</v>
      </c>
      <c r="O3" s="203" t="str">
        <f t="shared" ref="O3:O66" si="6">IF(ISNUMBER(K3),LOOKUP(K3,A:A,F:F),"")</f>
        <v>Αλεξανδρούπολης</v>
      </c>
    </row>
    <row r="4" spans="1:15" x14ac:dyDescent="0.25">
      <c r="A4" s="205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31" t="s">
        <v>578</v>
      </c>
      <c r="G4" s="231">
        <v>14000</v>
      </c>
      <c r="H4" t="str">
        <f>IFERROR(INDEX(DimosNaiOxi,MATCH(ΤΚ!E4,DimosNai,0)),"")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205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203">
        <f t="shared" si="4"/>
        <v>14000</v>
      </c>
      <c r="O4" s="203" t="str">
        <f t="shared" si="6"/>
        <v>Αρριανών</v>
      </c>
    </row>
    <row r="5" spans="1:15" x14ac:dyDescent="0.25">
      <c r="A5" s="205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31" t="s">
        <v>579</v>
      </c>
      <c r="G5" s="231">
        <v>14062</v>
      </c>
      <c r="H5" t="str">
        <f>IFERROR(INDEX(DimosNaiOxi,MATCH(ΤΚ!E5,DimosNai,0)),"")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205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203">
        <f t="shared" si="4"/>
        <v>14062</v>
      </c>
      <c r="O5" s="203" t="str">
        <f t="shared" si="6"/>
        <v>Διδυμοτείχου</v>
      </c>
    </row>
    <row r="6" spans="1:15" x14ac:dyDescent="0.25">
      <c r="A6" s="205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31" t="s">
        <v>580</v>
      </c>
      <c r="G6" s="231">
        <v>14072</v>
      </c>
      <c r="H6" t="str">
        <f>IFERROR(INDEX(DimosNaiOxi,MATCH(ΤΚ!E6,DimosNai,0)),"")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205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203">
        <f t="shared" si="4"/>
        <v>14072</v>
      </c>
      <c r="O6" s="203" t="str">
        <f t="shared" si="6"/>
        <v>Δοξάτου</v>
      </c>
    </row>
    <row r="7" spans="1:15" x14ac:dyDescent="0.25">
      <c r="A7" s="205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31" t="s">
        <v>581</v>
      </c>
      <c r="G7" s="231">
        <v>14074</v>
      </c>
      <c r="H7" t="str">
        <f>IFERROR(INDEX(DimosNaiOxi,MATCH(ΤΚ!E7,DimosNai,0)),"")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205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203">
        <f t="shared" si="4"/>
        <v>14074</v>
      </c>
      <c r="O7" s="203" t="str">
        <f t="shared" si="6"/>
        <v>Δράμας</v>
      </c>
    </row>
    <row r="8" spans="1:15" x14ac:dyDescent="0.25">
      <c r="A8" s="205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31" t="s">
        <v>582</v>
      </c>
      <c r="G8" s="231">
        <v>14128</v>
      </c>
      <c r="H8" t="str">
        <f>IFERROR(INDEX(DimosNaiOxi,MATCH(ΤΚ!E8,DimosNai,0)),"")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205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203">
        <f t="shared" si="4"/>
        <v>14128</v>
      </c>
      <c r="O8" s="203" t="str">
        <f t="shared" si="6"/>
        <v>Θάσου</v>
      </c>
    </row>
    <row r="9" spans="1:15" x14ac:dyDescent="0.25">
      <c r="A9" s="205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31" t="s">
        <v>583</v>
      </c>
      <c r="G9" s="231">
        <v>14142</v>
      </c>
      <c r="H9" t="str">
        <f>IFERROR(INDEX(DimosNaiOxi,MATCH(ΤΚ!E9,DimosNai,0)),"")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205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203">
        <f t="shared" si="4"/>
        <v>14142</v>
      </c>
      <c r="O9" s="203" t="str">
        <f t="shared" si="6"/>
        <v>Ιάσμου</v>
      </c>
    </row>
    <row r="10" spans="1:15" x14ac:dyDescent="0.25">
      <c r="A10" s="205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31" t="s">
        <v>584</v>
      </c>
      <c r="G10" s="231">
        <v>14174</v>
      </c>
      <c r="H10" t="str">
        <f>IFERROR(INDEX(DimosNaiOxi,MATCH(ΤΚ!E10,DimosNai,0)),"")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205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203">
        <f t="shared" si="4"/>
        <v>14174</v>
      </c>
      <c r="O10" s="203" t="str">
        <f t="shared" si="6"/>
        <v>Καβάλας</v>
      </c>
    </row>
    <row r="11" spans="1:15" x14ac:dyDescent="0.25">
      <c r="A11" s="205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31" t="s">
        <v>585</v>
      </c>
      <c r="G11" s="231">
        <v>14162</v>
      </c>
      <c r="H11" t="str">
        <f>IFERROR(INDEX(DimosNaiOxi,MATCH(ΤΚ!E11,DimosNai,0)),"")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205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203">
        <f t="shared" si="4"/>
        <v>14162</v>
      </c>
      <c r="O11" s="203" t="str">
        <f t="shared" si="6"/>
        <v>Κάτω Νευροκοπίου</v>
      </c>
    </row>
    <row r="12" spans="1:15" x14ac:dyDescent="0.25">
      <c r="A12" s="205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31" t="s">
        <v>586</v>
      </c>
      <c r="G12" s="231">
        <v>14224</v>
      </c>
      <c r="H12" t="str">
        <f>IFERROR(INDEX(DimosNaiOxi,MATCH(ΤΚ!E12,DimosNai,0)),"")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205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203">
        <f t="shared" si="4"/>
        <v>14224</v>
      </c>
      <c r="O12" s="203" t="str">
        <f t="shared" si="6"/>
        <v>Κομοτηνής</v>
      </c>
    </row>
    <row r="13" spans="1:15" x14ac:dyDescent="0.25">
      <c r="A13" s="205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31" t="s">
        <v>587</v>
      </c>
      <c r="G13" s="231">
        <v>14284</v>
      </c>
      <c r="H13" t="str">
        <f>IFERROR(INDEX(DimosNaiOxi,MATCH(ΤΚ!E13,DimosNai,0)),"")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205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203">
        <f t="shared" si="4"/>
        <v>14284</v>
      </c>
      <c r="O13" s="203" t="str">
        <f t="shared" si="6"/>
        <v>Μαρωνείας - Σαπών</v>
      </c>
    </row>
    <row r="14" spans="1:15" x14ac:dyDescent="0.25">
      <c r="A14" s="205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31" t="s">
        <v>588</v>
      </c>
      <c r="G14" s="231">
        <v>14270</v>
      </c>
      <c r="H14" t="str">
        <f>IFERROR(INDEX(DimosNaiOxi,MATCH(ΤΚ!E14,DimosNai,0)),"")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205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203">
        <f t="shared" si="4"/>
        <v>14270</v>
      </c>
      <c r="O14" s="203" t="str">
        <f t="shared" si="6"/>
        <v>Μύκης</v>
      </c>
    </row>
    <row r="15" spans="1:15" x14ac:dyDescent="0.25">
      <c r="A15" s="205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31" t="s">
        <v>589</v>
      </c>
      <c r="G15" s="231">
        <v>14326</v>
      </c>
      <c r="H15" t="str">
        <f>IFERROR(INDEX(DimosNaiOxi,MATCH(ΤΚ!E15,DimosNai,0)),"")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205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203">
        <f t="shared" si="4"/>
        <v>14326</v>
      </c>
      <c r="O15" s="203" t="str">
        <f t="shared" si="6"/>
        <v>Νέστου</v>
      </c>
    </row>
    <row r="16" spans="1:15" x14ac:dyDescent="0.25">
      <c r="A16" s="205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31" t="s">
        <v>590</v>
      </c>
      <c r="G16" s="231">
        <v>14346</v>
      </c>
      <c r="H16" t="str">
        <f>IFERROR(INDEX(DimosNaiOxi,MATCH(ΤΚ!E16,DimosNai,0)),"")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205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203">
        <f t="shared" si="4"/>
        <v>14346</v>
      </c>
      <c r="O16" s="203" t="str">
        <f t="shared" si="6"/>
        <v>Ξάνθης</v>
      </c>
    </row>
    <row r="17" spans="1:15" x14ac:dyDescent="0.25">
      <c r="A17" s="205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31" t="s">
        <v>591</v>
      </c>
      <c r="G17" s="231">
        <v>14358</v>
      </c>
      <c r="H17" t="str">
        <f>IFERROR(INDEX(DimosNaiOxi,MATCH(ΤΚ!E17,DimosNai,0)),"")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205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203">
        <f t="shared" si="4"/>
        <v>14358</v>
      </c>
      <c r="O17" s="203" t="str">
        <f t="shared" si="6"/>
        <v>Ορεστιάδας</v>
      </c>
    </row>
    <row r="18" spans="1:15" x14ac:dyDescent="0.25">
      <c r="A18" s="205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31" t="s">
        <v>592</v>
      </c>
      <c r="G18" s="231">
        <v>14384</v>
      </c>
      <c r="H18" t="str">
        <f>IFERROR(INDEX(DimosNaiOxi,MATCH(ΤΚ!E18,DimosNai,0)),"")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205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203">
        <f t="shared" si="4"/>
        <v>14384</v>
      </c>
      <c r="O18" s="203" t="str">
        <f t="shared" si="6"/>
        <v>Παγγαίου</v>
      </c>
    </row>
    <row r="19" spans="1:15" x14ac:dyDescent="0.25">
      <c r="A19" s="205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31" t="s">
        <v>593</v>
      </c>
      <c r="G19" s="231">
        <v>14400</v>
      </c>
      <c r="H19" t="str">
        <f>IFERROR(INDEX(DimosNaiOxi,MATCH(ΤΚ!E19,DimosNai,0)),"")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205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203">
        <f t="shared" si="4"/>
        <v>14400</v>
      </c>
      <c r="O19" s="203" t="str">
        <f t="shared" si="6"/>
        <v>Παρανεστίου</v>
      </c>
    </row>
    <row r="20" spans="1:15" x14ac:dyDescent="0.25">
      <c r="A20" s="205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31" t="s">
        <v>594</v>
      </c>
      <c r="G20" s="231">
        <v>14424</v>
      </c>
      <c r="H20" t="str">
        <f>IFERROR(INDEX(DimosNaiOxi,MATCH(ΤΚ!E20,DimosNai,0)),"")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205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203">
        <f t="shared" si="4"/>
        <v>14424</v>
      </c>
      <c r="O20" s="203" t="str">
        <f t="shared" si="6"/>
        <v>Προσοτσάνης</v>
      </c>
    </row>
    <row r="21" spans="1:15" x14ac:dyDescent="0.25">
      <c r="A21" s="205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31" t="s">
        <v>595</v>
      </c>
      <c r="G21" s="231">
        <v>14448</v>
      </c>
      <c r="H21" t="str">
        <f>IFERROR(INDEX(DimosNaiOxi,MATCH(ΤΚ!E21,DimosNai,0)),"")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205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203">
        <f t="shared" si="4"/>
        <v>14448</v>
      </c>
      <c r="O21" s="203" t="str">
        <f t="shared" si="6"/>
        <v>Σαμοθράκης</v>
      </c>
    </row>
    <row r="22" spans="1:15" x14ac:dyDescent="0.25">
      <c r="A22" s="205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31" t="s">
        <v>596</v>
      </c>
      <c r="G22" s="231">
        <v>14478</v>
      </c>
      <c r="H22" t="str">
        <f>IFERROR(INDEX(DimosNaiOxi,MATCH(ΤΚ!E22,DimosNai,0)),"")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205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203">
        <f t="shared" si="4"/>
        <v>14478</v>
      </c>
      <c r="O22" s="203" t="str">
        <f t="shared" si="6"/>
        <v>Σουφλίου</v>
      </c>
    </row>
    <row r="23" spans="1:15" x14ac:dyDescent="0.25">
      <c r="A23" s="205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31" t="s">
        <v>597</v>
      </c>
      <c r="G23" s="231">
        <v>14500</v>
      </c>
      <c r="H23" t="str">
        <f>IFERROR(INDEX(DimosNaiOxi,MATCH(ΤΚ!E23,DimosNai,0)),"")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205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203">
        <f t="shared" si="4"/>
        <v>14500</v>
      </c>
      <c r="O23" s="203" t="str">
        <f t="shared" si="6"/>
        <v>Τοπείρου</v>
      </c>
    </row>
    <row r="24" spans="1:15" x14ac:dyDescent="0.25">
      <c r="A24" s="205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31" t="s">
        <v>598</v>
      </c>
      <c r="G24" s="231">
        <v>13922</v>
      </c>
      <c r="H24" t="str">
        <f>IFERROR(INDEX(DimosNaiOxi,MATCH(ΤΚ!E24,DimosNai,0)),"")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205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203">
        <f t="shared" si="4"/>
        <v>13922</v>
      </c>
      <c r="O24" s="203" t="str">
        <f t="shared" si="6"/>
        <v>Αγίας Βαρβάρας</v>
      </c>
    </row>
    <row r="25" spans="1:15" x14ac:dyDescent="0.25">
      <c r="A25" s="205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31" t="s">
        <v>599</v>
      </c>
      <c r="G25" s="231">
        <v>13924</v>
      </c>
      <c r="H25" t="str">
        <f>IFERROR(INDEX(DimosNaiOxi,MATCH(ΤΚ!E25,DimosNai,0)),"")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205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203">
        <f t="shared" si="4"/>
        <v>13924</v>
      </c>
      <c r="O25" s="203" t="str">
        <f t="shared" si="6"/>
        <v>Αγίας Παρασκευής</v>
      </c>
    </row>
    <row r="26" spans="1:15" x14ac:dyDescent="0.25">
      <c r="A26" s="205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31" t="s">
        <v>600</v>
      </c>
      <c r="G26" s="231">
        <v>13928</v>
      </c>
      <c r="H26" t="str">
        <f>IFERROR(INDEX(DimosNaiOxi,MATCH(ΤΚ!E26,DimosNai,0)),"")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205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203">
        <f t="shared" si="4"/>
        <v>13928</v>
      </c>
      <c r="O26" s="203" t="str">
        <f t="shared" si="6"/>
        <v>Αγίου Δημητρίου</v>
      </c>
    </row>
    <row r="27" spans="1:15" x14ac:dyDescent="0.25">
      <c r="A27" s="205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31" t="s">
        <v>601</v>
      </c>
      <c r="G27" s="231">
        <v>13934</v>
      </c>
      <c r="H27" t="str">
        <f>IFERROR(INDEX(DimosNaiOxi,MATCH(ΤΚ!E27,DimosNai,0)),"")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205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203">
        <f t="shared" si="4"/>
        <v>13934</v>
      </c>
      <c r="O27" s="203" t="str">
        <f t="shared" si="6"/>
        <v>Αγίων Αναργύρων - Καματερού</v>
      </c>
    </row>
    <row r="28" spans="1:15" x14ac:dyDescent="0.25">
      <c r="A28" s="205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31" t="s">
        <v>602</v>
      </c>
      <c r="G28" s="231">
        <v>13940</v>
      </c>
      <c r="H28" t="str">
        <f>IFERROR(INDEX(DimosNaiOxi,MATCH(ΤΚ!E28,DimosNai,0)),"")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205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203">
        <f t="shared" si="4"/>
        <v>13940</v>
      </c>
      <c r="O28" s="203" t="str">
        <f t="shared" si="6"/>
        <v>Αγκιστρίου</v>
      </c>
    </row>
    <row r="29" spans="1:15" x14ac:dyDescent="0.25">
      <c r="A29" s="205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31" t="s">
        <v>603</v>
      </c>
      <c r="G29" s="231">
        <v>13946</v>
      </c>
      <c r="H29" t="str">
        <f>IFERROR(INDEX(DimosNaiOxi,MATCH(ΤΚ!E29,DimosNai,0)),"")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205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203">
        <f t="shared" si="4"/>
        <v>13946</v>
      </c>
      <c r="O29" s="203" t="str">
        <f t="shared" si="6"/>
        <v>Αθηναίων</v>
      </c>
    </row>
    <row r="30" spans="1:15" x14ac:dyDescent="0.25">
      <c r="A30" s="205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31" t="s">
        <v>604</v>
      </c>
      <c r="G30" s="231">
        <v>13948</v>
      </c>
      <c r="H30" t="str">
        <f>IFERROR(INDEX(DimosNaiOxi,MATCH(ΤΚ!E30,DimosNai,0)),"")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205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203">
        <f t="shared" si="4"/>
        <v>13948</v>
      </c>
      <c r="O30" s="203" t="str">
        <f t="shared" si="6"/>
        <v>Αιγάλεω</v>
      </c>
    </row>
    <row r="31" spans="1:15" x14ac:dyDescent="0.25">
      <c r="A31" s="205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31" t="s">
        <v>605</v>
      </c>
      <c r="G31" s="231">
        <v>13918</v>
      </c>
      <c r="H31" t="str">
        <f>IFERROR(INDEX(DimosNaiOxi,MATCH(ΤΚ!E31,DimosNai,0)),"")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205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203">
        <f t="shared" si="4"/>
        <v>13918</v>
      </c>
      <c r="O31" s="203" t="str">
        <f t="shared" si="6"/>
        <v>Αίγινας</v>
      </c>
    </row>
    <row r="32" spans="1:15" x14ac:dyDescent="0.25">
      <c r="A32" s="205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31" t="s">
        <v>606</v>
      </c>
      <c r="G32" s="231">
        <v>13952</v>
      </c>
      <c r="H32" t="str">
        <f>IFERROR(INDEX(DimosNaiOxi,MATCH(ΤΚ!E32,DimosNai,0)),"")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205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203">
        <f t="shared" si="4"/>
        <v>13952</v>
      </c>
      <c r="O32" s="203" t="str">
        <f t="shared" si="6"/>
        <v>Αλίμου</v>
      </c>
    </row>
    <row r="33" spans="1:15" x14ac:dyDescent="0.25">
      <c r="A33" s="205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31" t="s">
        <v>607</v>
      </c>
      <c r="G33" s="231">
        <v>13968</v>
      </c>
      <c r="H33" t="str">
        <f>IFERROR(INDEX(DimosNaiOxi,MATCH(ΤΚ!E33,DimosNai,0)),"")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205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203">
        <f t="shared" si="4"/>
        <v>13968</v>
      </c>
      <c r="O33" s="203" t="str">
        <f t="shared" si="6"/>
        <v>Αμαρουσίου</v>
      </c>
    </row>
    <row r="34" spans="1:15" x14ac:dyDescent="0.25">
      <c r="A34" s="205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31" t="s">
        <v>608</v>
      </c>
      <c r="G34" s="231">
        <v>14008</v>
      </c>
      <c r="H34" t="str">
        <f>IFERROR(INDEX(DimosNaiOxi,MATCH(ΤΚ!E34,DimosNai,0)),"")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205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203">
        <f t="shared" si="4"/>
        <v>14008</v>
      </c>
      <c r="O34" s="203" t="str">
        <f t="shared" si="6"/>
        <v>Ασπροπύργου</v>
      </c>
    </row>
    <row r="35" spans="1:15" x14ac:dyDescent="0.25">
      <c r="A35" s="205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31" t="s">
        <v>609</v>
      </c>
      <c r="G35" s="231">
        <v>14012</v>
      </c>
      <c r="H35" t="str">
        <f>IFERROR(INDEX(DimosNaiOxi,MATCH(ΤΚ!E35,DimosNai,0)),"")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205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203">
        <f t="shared" si="4"/>
        <v>14012</v>
      </c>
      <c r="O35" s="203" t="str">
        <f t="shared" si="6"/>
        <v>Αχαρνών</v>
      </c>
    </row>
    <row r="36" spans="1:15" x14ac:dyDescent="0.25">
      <c r="A36" s="205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31" t="s">
        <v>610</v>
      </c>
      <c r="G36" s="231">
        <v>14014</v>
      </c>
      <c r="H36" t="str">
        <f>IFERROR(INDEX(DimosNaiOxi,MATCH(ΤΚ!E36,DimosNai,0)),"")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205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203">
        <f t="shared" si="4"/>
        <v>14014</v>
      </c>
      <c r="O36" s="203" t="str">
        <f t="shared" si="6"/>
        <v>Βάρης - Βούλας - Βουλιαγμένης</v>
      </c>
    </row>
    <row r="37" spans="1:15" x14ac:dyDescent="0.25">
      <c r="A37" s="205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31" t="s">
        <v>611</v>
      </c>
      <c r="G37" s="231">
        <v>14036</v>
      </c>
      <c r="H37" t="str">
        <f>IFERROR(INDEX(DimosNaiOxi,MATCH(ΤΚ!E37,DimosNai,0)),"")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205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203">
        <f t="shared" si="4"/>
        <v>14036</v>
      </c>
      <c r="O37" s="203" t="str">
        <f t="shared" si="6"/>
        <v>Βριλησσίων</v>
      </c>
    </row>
    <row r="38" spans="1:15" x14ac:dyDescent="0.25">
      <c r="A38" s="205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31" t="s">
        <v>612</v>
      </c>
      <c r="G38" s="231">
        <v>14026</v>
      </c>
      <c r="H38" t="str">
        <f>IFERROR(INDEX(DimosNaiOxi,MATCH(ΤΚ!E38,DimosNai,0)),"")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205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203">
        <f t="shared" si="4"/>
        <v>14026</v>
      </c>
      <c r="O38" s="203" t="str">
        <f t="shared" si="6"/>
        <v>Βύρωνος</v>
      </c>
    </row>
    <row r="39" spans="1:15" x14ac:dyDescent="0.25">
      <c r="A39" s="205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31" t="s">
        <v>613</v>
      </c>
      <c r="G39" s="231">
        <v>14042</v>
      </c>
      <c r="H39" t="str">
        <f>IFERROR(INDEX(DimosNaiOxi,MATCH(ΤΚ!E39,DimosNai,0)),"")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205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203">
        <f t="shared" si="4"/>
        <v>14042</v>
      </c>
      <c r="O39" s="203" t="str">
        <f t="shared" si="6"/>
        <v>Γαλατσίου</v>
      </c>
    </row>
    <row r="40" spans="1:15" x14ac:dyDescent="0.25">
      <c r="A40" s="205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31" t="s">
        <v>614</v>
      </c>
      <c r="G40" s="231">
        <v>14046</v>
      </c>
      <c r="H40" t="str">
        <f>IFERROR(INDEX(DimosNaiOxi,MATCH(ΤΚ!E40,DimosNai,0)),"")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205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203">
        <f t="shared" si="4"/>
        <v>14046</v>
      </c>
      <c r="O40" s="203" t="str">
        <f t="shared" si="6"/>
        <v>Γλυφάδας</v>
      </c>
    </row>
    <row r="41" spans="1:15" x14ac:dyDescent="0.25">
      <c r="A41" s="205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31" t="s">
        <v>615</v>
      </c>
      <c r="G41" s="231">
        <v>14052</v>
      </c>
      <c r="H41" t="str">
        <f>IFERROR(INDEX(DimosNaiOxi,MATCH(ΤΚ!E41,DimosNai,0)),"")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205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203">
        <f t="shared" si="4"/>
        <v>14052</v>
      </c>
      <c r="O41" s="203" t="str">
        <f t="shared" si="6"/>
        <v>Δάφνης - Υμηττού</v>
      </c>
    </row>
    <row r="42" spans="1:15" x14ac:dyDescent="0.25">
      <c r="A42" s="205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31" t="s">
        <v>616</v>
      </c>
      <c r="G42" s="231">
        <v>14064</v>
      </c>
      <c r="H42" t="str">
        <f>IFERROR(INDEX(DimosNaiOxi,MATCH(ΤΚ!E42,DimosNai,0)),"")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205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203">
        <f t="shared" si="4"/>
        <v>14064</v>
      </c>
      <c r="O42" s="203" t="str">
        <f t="shared" si="6"/>
        <v>Διονύσου</v>
      </c>
    </row>
    <row r="43" spans="1:15" x14ac:dyDescent="0.25">
      <c r="A43" s="205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31" t="s">
        <v>617</v>
      </c>
      <c r="G43" s="231">
        <v>14088</v>
      </c>
      <c r="H43" t="str">
        <f>IFERROR(INDEX(DimosNaiOxi,MATCH(ΤΚ!E43,DimosNai,0)),"")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205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203">
        <f t="shared" si="4"/>
        <v>14088</v>
      </c>
      <c r="O43" s="203" t="str">
        <f t="shared" si="6"/>
        <v>Ελευσίνας</v>
      </c>
    </row>
    <row r="44" spans="1:15" x14ac:dyDescent="0.25">
      <c r="A44" s="205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31" t="s">
        <v>618</v>
      </c>
      <c r="G44" s="231">
        <v>14090</v>
      </c>
      <c r="H44" t="str">
        <f>IFERROR(INDEX(DimosNaiOxi,MATCH(ΤΚ!E44,DimosNai,0)),"")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205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203">
        <f t="shared" si="4"/>
        <v>14090</v>
      </c>
      <c r="O44" s="203" t="str">
        <f t="shared" si="6"/>
        <v>Ελληνικού - Αργυρούπολης</v>
      </c>
    </row>
    <row r="45" spans="1:15" x14ac:dyDescent="0.25">
      <c r="A45" s="205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31" t="s">
        <v>619</v>
      </c>
      <c r="G45" s="231">
        <v>14118</v>
      </c>
      <c r="H45" t="str">
        <f>IFERROR(INDEX(DimosNaiOxi,MATCH(ΤΚ!E45,DimosNai,0)),"")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205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203">
        <f t="shared" si="4"/>
        <v>14118</v>
      </c>
      <c r="O45" s="203" t="str">
        <f t="shared" si="6"/>
        <v>Ζωγράφου</v>
      </c>
    </row>
    <row r="46" spans="1:15" x14ac:dyDescent="0.25">
      <c r="A46" s="205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31" t="s">
        <v>620</v>
      </c>
      <c r="G46" s="231">
        <v>14122</v>
      </c>
      <c r="H46" t="str">
        <f>IFERROR(INDEX(DimosNaiOxi,MATCH(ΤΚ!E46,DimosNai,0)),"")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205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203">
        <f t="shared" si="4"/>
        <v>14122</v>
      </c>
      <c r="O46" s="203" t="str">
        <f t="shared" si="6"/>
        <v>Ηλιούπολης</v>
      </c>
    </row>
    <row r="47" spans="1:15" x14ac:dyDescent="0.25">
      <c r="A47" s="205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F47" s="231" t="s">
        <v>926</v>
      </c>
      <c r="G47" s="231">
        <v>21230</v>
      </c>
      <c r="H47" t="str">
        <f>IFERROR(INDEX(DimosNaiOxi,MATCH(ΤΚ!E47,DimosNai,0)),"")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205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203">
        <f t="shared" si="4"/>
        <v>21230</v>
      </c>
      <c r="O47" s="203" t="str">
        <f t="shared" si="6"/>
        <v>Ηρακλείου Αττικής</v>
      </c>
    </row>
    <row r="48" spans="1:15" x14ac:dyDescent="0.25">
      <c r="A48" s="205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31" t="s">
        <v>621</v>
      </c>
      <c r="G48" s="231">
        <v>14154</v>
      </c>
      <c r="H48" t="str">
        <f>IFERROR(INDEX(DimosNaiOxi,MATCH(ΤΚ!E48,DimosNai,0)),"")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205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203">
        <f t="shared" si="4"/>
        <v>14154</v>
      </c>
      <c r="O48" s="203" t="str">
        <f t="shared" si="6"/>
        <v>Ιλίου</v>
      </c>
    </row>
    <row r="49" spans="1:15" x14ac:dyDescent="0.25">
      <c r="A49" s="205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31" t="s">
        <v>622</v>
      </c>
      <c r="G49" s="231">
        <v>14176</v>
      </c>
      <c r="H49" t="str">
        <f>IFERROR(INDEX(DimosNaiOxi,MATCH(ΤΚ!E49,DimosNai,0)),"")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205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203">
        <f t="shared" si="4"/>
        <v>14176</v>
      </c>
      <c r="O49" s="203" t="str">
        <f t="shared" si="6"/>
        <v>Καισαριανής</v>
      </c>
    </row>
    <row r="50" spans="1:15" x14ac:dyDescent="0.25">
      <c r="A50" s="205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31" t="s">
        <v>623</v>
      </c>
      <c r="G50" s="231">
        <v>14186</v>
      </c>
      <c r="H50" t="str">
        <f>IFERROR(INDEX(DimosNaiOxi,MATCH(ΤΚ!E50,DimosNai,0)),"")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205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203">
        <f t="shared" si="4"/>
        <v>14186</v>
      </c>
      <c r="O50" s="203" t="str">
        <f t="shared" si="6"/>
        <v>Καλλιθέας</v>
      </c>
    </row>
    <row r="51" spans="1:15" x14ac:dyDescent="0.25">
      <c r="A51" s="205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31" t="s">
        <v>624</v>
      </c>
      <c r="G51" s="231">
        <v>14208</v>
      </c>
      <c r="H51" t="str">
        <f>IFERROR(INDEX(DimosNaiOxi,MATCH(ΤΚ!E51,DimosNai,0)),"")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205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203">
        <f t="shared" si="4"/>
        <v>14208</v>
      </c>
      <c r="O51" s="203" t="str">
        <f t="shared" si="6"/>
        <v>Κερατσινίου - Δραπετσώνας</v>
      </c>
    </row>
    <row r="52" spans="1:15" x14ac:dyDescent="0.25">
      <c r="A52" s="205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31" t="s">
        <v>625</v>
      </c>
      <c r="G52" s="231">
        <v>14212</v>
      </c>
      <c r="H52" t="str">
        <f>IFERROR(INDEX(DimosNaiOxi,MATCH(ΤΚ!E52,DimosNai,0)),"")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205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203">
        <f t="shared" si="4"/>
        <v>14212</v>
      </c>
      <c r="O52" s="203" t="str">
        <f t="shared" si="6"/>
        <v>Κηφισιάς</v>
      </c>
    </row>
    <row r="53" spans="1:15" x14ac:dyDescent="0.25">
      <c r="A53" s="205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31" t="s">
        <v>626</v>
      </c>
      <c r="G53" s="231">
        <v>14230</v>
      </c>
      <c r="H53" t="str">
        <f>IFERROR(INDEX(DimosNaiOxi,MATCH(ΤΚ!E53,DimosNai,0)),"")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205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203">
        <f t="shared" si="4"/>
        <v>14230</v>
      </c>
      <c r="O53" s="203" t="str">
        <f t="shared" si="6"/>
        <v>Κορυδαλλού</v>
      </c>
    </row>
    <row r="54" spans="1:15" x14ac:dyDescent="0.25">
      <c r="A54" s="205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31" t="s">
        <v>627</v>
      </c>
      <c r="G54" s="231">
        <v>14232</v>
      </c>
      <c r="H54" t="str">
        <f>IFERROR(INDEX(DimosNaiOxi,MATCH(ΤΚ!E54,DimosNai,0)),"")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205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203">
        <f t="shared" si="4"/>
        <v>14232</v>
      </c>
      <c r="O54" s="203" t="str">
        <f t="shared" si="6"/>
        <v>Κρωπίας</v>
      </c>
    </row>
    <row r="55" spans="1:15" x14ac:dyDescent="0.25">
      <c r="A55" s="205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31" t="s">
        <v>628</v>
      </c>
      <c r="G55" s="231">
        <v>14234</v>
      </c>
      <c r="H55" t="str">
        <f>IFERROR(INDEX(DimosNaiOxi,MATCH(ΤΚ!E55,DimosNai,0)),"")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205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203">
        <f t="shared" si="4"/>
        <v>14234</v>
      </c>
      <c r="O55" s="203" t="str">
        <f t="shared" si="6"/>
        <v>Κυθήρων</v>
      </c>
    </row>
    <row r="56" spans="1:15" x14ac:dyDescent="0.25">
      <c r="A56" s="205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31" t="s">
        <v>629</v>
      </c>
      <c r="G56" s="231">
        <v>14252</v>
      </c>
      <c r="H56" t="str">
        <f>IFERROR(INDEX(DimosNaiOxi,MATCH(ΤΚ!E56,DimosNai,0)),"")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205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203">
        <f t="shared" si="4"/>
        <v>14252</v>
      </c>
      <c r="O56" s="203" t="str">
        <f t="shared" si="6"/>
        <v>Λαυρεωτικής</v>
      </c>
    </row>
    <row r="57" spans="1:15" x14ac:dyDescent="0.25">
      <c r="A57" s="205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31" t="s">
        <v>630</v>
      </c>
      <c r="G57" s="231">
        <v>14264</v>
      </c>
      <c r="H57" t="str">
        <f>IFERROR(INDEX(DimosNaiOxi,MATCH(ΤΚ!E57,DimosNai,0)),"")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205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203">
        <f t="shared" si="4"/>
        <v>14264</v>
      </c>
      <c r="O57" s="203" t="str">
        <f t="shared" si="6"/>
        <v>Λυκόβρυσης - Πεύκης</v>
      </c>
    </row>
    <row r="58" spans="1:15" x14ac:dyDescent="0.25">
      <c r="A58" s="205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31" t="s">
        <v>631</v>
      </c>
      <c r="G58" s="231">
        <v>14266</v>
      </c>
      <c r="H58" t="str">
        <f>IFERROR(INDEX(DimosNaiOxi,MATCH(ΤΚ!E58,DimosNai,0)),"")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205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203">
        <f t="shared" si="4"/>
        <v>14266</v>
      </c>
      <c r="O58" s="203" t="str">
        <f t="shared" si="6"/>
        <v>Μάνδρας - Ειδυλλίας</v>
      </c>
    </row>
    <row r="59" spans="1:15" x14ac:dyDescent="0.25">
      <c r="A59" s="205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31" t="s">
        <v>632</v>
      </c>
      <c r="G59" s="231">
        <v>14280</v>
      </c>
      <c r="H59" t="str">
        <f>IFERROR(INDEX(DimosNaiOxi,MATCH(ΤΚ!E59,DimosNai,0)),"")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205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203">
        <f t="shared" si="4"/>
        <v>14280</v>
      </c>
      <c r="O59" s="203" t="str">
        <f t="shared" si="6"/>
        <v>Μαραθώνος</v>
      </c>
    </row>
    <row r="60" spans="1:15" x14ac:dyDescent="0.25">
      <c r="A60" s="205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31" t="s">
        <v>633</v>
      </c>
      <c r="G60" s="231">
        <v>14282</v>
      </c>
      <c r="H60" t="str">
        <f>IFERROR(INDEX(DimosNaiOxi,MATCH(ΤΚ!E60,DimosNai,0)),"")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205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203">
        <f t="shared" si="4"/>
        <v>14282</v>
      </c>
      <c r="O60" s="203" t="str">
        <f t="shared" si="6"/>
        <v>Μαρκοπούλου Μεσογαίας</v>
      </c>
    </row>
    <row r="61" spans="1:15" x14ac:dyDescent="0.25">
      <c r="A61" s="205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31" t="s">
        <v>634</v>
      </c>
      <c r="G61" s="231">
        <v>14292</v>
      </c>
      <c r="H61" t="str">
        <f>IFERROR(INDEX(DimosNaiOxi,MATCH(ΤΚ!E61,DimosNai,0)),"")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205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203">
        <f t="shared" si="4"/>
        <v>14292</v>
      </c>
      <c r="O61" s="203" t="str">
        <f t="shared" si="6"/>
        <v>Μεγαρέων</v>
      </c>
    </row>
    <row r="62" spans="1:15" x14ac:dyDescent="0.25">
      <c r="A62" s="205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31" t="s">
        <v>635</v>
      </c>
      <c r="G62" s="231">
        <v>14296</v>
      </c>
      <c r="H62" t="str">
        <f>IFERROR(INDEX(DimosNaiOxi,MATCH(ΤΚ!E62,DimosNai,0)),"")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205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203">
        <f t="shared" si="4"/>
        <v>14296</v>
      </c>
      <c r="O62" s="203" t="str">
        <f t="shared" si="6"/>
        <v>Μεταμορφώσεως</v>
      </c>
    </row>
    <row r="63" spans="1:15" x14ac:dyDescent="0.25">
      <c r="A63" s="205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31" t="s">
        <v>636</v>
      </c>
      <c r="G63" s="231">
        <v>14304</v>
      </c>
      <c r="H63" t="str">
        <f>IFERROR(INDEX(DimosNaiOxi,MATCH(ΤΚ!E63,DimosNai,0)),"")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205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203">
        <f t="shared" si="4"/>
        <v>14304</v>
      </c>
      <c r="O63" s="203" t="str">
        <f t="shared" si="6"/>
        <v>Μοσχάτου - Ταύρου</v>
      </c>
    </row>
    <row r="64" spans="1:15" x14ac:dyDescent="0.25">
      <c r="A64" s="205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31" t="s">
        <v>637</v>
      </c>
      <c r="G64" s="231">
        <v>14320</v>
      </c>
      <c r="H64" t="str">
        <f>IFERROR(INDEX(DimosNaiOxi,MATCH(ΤΚ!E64,DimosNai,0)),"")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205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203">
        <f t="shared" si="4"/>
        <v>14320</v>
      </c>
      <c r="O64" s="203" t="str">
        <f t="shared" si="6"/>
        <v>Νέας Ιωνίας</v>
      </c>
    </row>
    <row r="65" spans="1:15" x14ac:dyDescent="0.25">
      <c r="A65" s="205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31" t="s">
        <v>638</v>
      </c>
      <c r="G65" s="231">
        <v>14324</v>
      </c>
      <c r="H65" t="str">
        <f>IFERROR(INDEX(DimosNaiOxi,MATCH(ΤΚ!E65,DimosNai,0)),"")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205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203">
        <f t="shared" si="4"/>
        <v>14324</v>
      </c>
      <c r="O65" s="203" t="str">
        <f t="shared" si="6"/>
        <v>Νέας Σμύρνης</v>
      </c>
    </row>
    <row r="66" spans="1:15" x14ac:dyDescent="0.25">
      <c r="A66" s="205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31" t="s">
        <v>639</v>
      </c>
      <c r="G66" s="231">
        <v>14328</v>
      </c>
      <c r="H66" t="str">
        <f>IFERROR(INDEX(DimosNaiOxi,MATCH(ΤΚ!E66,DimosNai,0)),"")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205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203">
        <f t="shared" si="4"/>
        <v>14328</v>
      </c>
      <c r="O66" s="203" t="str">
        <f t="shared" si="6"/>
        <v>Νίκαιας - Αγίου Ι. Ρέντη</v>
      </c>
    </row>
    <row r="67" spans="1:15" x14ac:dyDescent="0.25">
      <c r="A67" s="205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31" t="s">
        <v>640</v>
      </c>
      <c r="G67" s="231">
        <v>14386</v>
      </c>
      <c r="H67" t="str">
        <f>IFERROR(INDEX(DimosNaiOxi,MATCH(ΤΚ!E67,DimosNai,0)),"")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205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203">
        <f t="shared" ref="N67:N130" si="12">IF(ISNUMBER(K67),LOOKUP(K67,A:A,G:G),"")</f>
        <v>14386</v>
      </c>
      <c r="O67" s="203" t="str">
        <f t="shared" ref="O67:O130" si="13">IF(ISNUMBER(K67),LOOKUP(K67,A:A,F:F),"")</f>
        <v>Παιανίας</v>
      </c>
    </row>
    <row r="68" spans="1:15" x14ac:dyDescent="0.25">
      <c r="A68" s="205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31" t="s">
        <v>641</v>
      </c>
      <c r="G68" s="231">
        <v>14390</v>
      </c>
      <c r="H68" t="str">
        <f>IFERROR(INDEX(DimosNaiOxi,MATCH(ΤΚ!E68,DimosNai,0)),"")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205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203">
        <f t="shared" si="12"/>
        <v>14390</v>
      </c>
      <c r="O68" s="203" t="str">
        <f t="shared" si="13"/>
        <v>Παλαιού Φαλήρου</v>
      </c>
    </row>
    <row r="69" spans="1:15" x14ac:dyDescent="0.25">
      <c r="A69" s="205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31" t="s">
        <v>642</v>
      </c>
      <c r="G69" s="231">
        <v>14394</v>
      </c>
      <c r="H69" t="str">
        <f>IFERROR(INDEX(DimosNaiOxi,MATCH(ΤΚ!E69,DimosNai,0)),"")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205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203">
        <f t="shared" si="12"/>
        <v>14394</v>
      </c>
      <c r="O69" s="203" t="str">
        <f t="shared" si="13"/>
        <v>Παλλήνης</v>
      </c>
    </row>
    <row r="70" spans="1:15" x14ac:dyDescent="0.25">
      <c r="A70" s="205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31" t="s">
        <v>643</v>
      </c>
      <c r="G70" s="231">
        <v>14398</v>
      </c>
      <c r="H70" t="str">
        <f>IFERROR(INDEX(DimosNaiOxi,MATCH(ΤΚ!E70,DimosNai,0)),"")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205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203">
        <f t="shared" si="12"/>
        <v>14398</v>
      </c>
      <c r="O70" s="203" t="str">
        <f t="shared" si="13"/>
        <v>Παπάγου - Χολαργού</v>
      </c>
    </row>
    <row r="71" spans="1:15" x14ac:dyDescent="0.25">
      <c r="A71" s="205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31" t="s">
        <v>644</v>
      </c>
      <c r="G71" s="231">
        <v>14404</v>
      </c>
      <c r="H71" t="str">
        <f>IFERROR(INDEX(DimosNaiOxi,MATCH(ΤΚ!E71,DimosNai,0)),"")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205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203">
        <f t="shared" si="12"/>
        <v>14404</v>
      </c>
      <c r="O71" s="203" t="str">
        <f t="shared" si="13"/>
        <v>Πειραιώς</v>
      </c>
    </row>
    <row r="72" spans="1:15" x14ac:dyDescent="0.25">
      <c r="A72" s="205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31" t="s">
        <v>645</v>
      </c>
      <c r="G72" s="231">
        <v>14406</v>
      </c>
      <c r="H72" t="str">
        <f>IFERROR(INDEX(DimosNaiOxi,MATCH(ΤΚ!E72,DimosNai,0)),"")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205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203">
        <f t="shared" si="12"/>
        <v>14406</v>
      </c>
      <c r="O72" s="203" t="str">
        <f t="shared" si="13"/>
        <v>Πεντέλης</v>
      </c>
    </row>
    <row r="73" spans="1:15" x14ac:dyDescent="0.25">
      <c r="A73" s="205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31" t="s">
        <v>646</v>
      </c>
      <c r="G73" s="231">
        <v>14408</v>
      </c>
      <c r="H73" t="str">
        <f>IFERROR(INDEX(DimosNaiOxi,MATCH(ΤΚ!E73,DimosNai,0)),"")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205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203">
        <f t="shared" si="12"/>
        <v>14408</v>
      </c>
      <c r="O73" s="203" t="str">
        <f t="shared" si="13"/>
        <v>Περάματος</v>
      </c>
    </row>
    <row r="74" spans="1:15" x14ac:dyDescent="0.25">
      <c r="A74" s="205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31" t="s">
        <v>647</v>
      </c>
      <c r="G74" s="231">
        <v>14410</v>
      </c>
      <c r="H74" t="str">
        <f>IFERROR(INDEX(DimosNaiOxi,MATCH(ΤΚ!E74,DimosNai,0)),"")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205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203">
        <f t="shared" si="12"/>
        <v>14410</v>
      </c>
      <c r="O74" s="203" t="str">
        <f t="shared" si="13"/>
        <v>Περιστερίου</v>
      </c>
    </row>
    <row r="75" spans="1:15" x14ac:dyDescent="0.25">
      <c r="A75" s="205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31" t="s">
        <v>648</v>
      </c>
      <c r="G75" s="231">
        <v>14412</v>
      </c>
      <c r="H75" t="str">
        <f>IFERROR(INDEX(DimosNaiOxi,MATCH(ΤΚ!E75,DimosNai,0)),"")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205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203">
        <f t="shared" si="12"/>
        <v>14412</v>
      </c>
      <c r="O75" s="203" t="str">
        <f t="shared" si="13"/>
        <v>Πετρούπολης</v>
      </c>
    </row>
    <row r="76" spans="1:15" x14ac:dyDescent="0.25">
      <c r="A76" s="205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31" t="s">
        <v>649</v>
      </c>
      <c r="G76" s="231">
        <v>14372</v>
      </c>
      <c r="H76" t="str">
        <f>IFERROR(INDEX(DimosNaiOxi,MATCH(ΤΚ!E76,DimosNai,0)),"")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205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203">
        <f t="shared" si="12"/>
        <v>14372</v>
      </c>
      <c r="O76" s="203" t="str">
        <f t="shared" si="13"/>
        <v>Πόρου</v>
      </c>
    </row>
    <row r="77" spans="1:15" x14ac:dyDescent="0.25">
      <c r="A77" s="205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31" t="s">
        <v>650</v>
      </c>
      <c r="G77" s="231">
        <v>14434</v>
      </c>
      <c r="H77" t="str">
        <f>IFERROR(INDEX(DimosNaiOxi,MATCH(ΤΚ!E77,DimosNai,0)),"")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205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203">
        <f t="shared" si="12"/>
        <v>14434</v>
      </c>
      <c r="O77" s="203" t="str">
        <f t="shared" si="13"/>
        <v>Ραφήνας - Πικερμίου</v>
      </c>
    </row>
    <row r="78" spans="1:15" x14ac:dyDescent="0.25">
      <c r="A78" s="205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31" t="s">
        <v>651</v>
      </c>
      <c r="G78" s="231">
        <v>14446</v>
      </c>
      <c r="H78" t="str">
        <f>IFERROR(INDEX(DimosNaiOxi,MATCH(ΤΚ!E78,DimosNai,0)),"")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205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203">
        <f t="shared" si="12"/>
        <v>14446</v>
      </c>
      <c r="O78" s="203" t="str">
        <f t="shared" si="13"/>
        <v>Σαλαμίνας</v>
      </c>
    </row>
    <row r="79" spans="1:15" x14ac:dyDescent="0.25">
      <c r="A79" s="205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31" t="s">
        <v>652</v>
      </c>
      <c r="G79" s="231">
        <v>14450</v>
      </c>
      <c r="H79" t="str">
        <f>IFERROR(INDEX(DimosNaiOxi,MATCH(ΤΚ!E79,DimosNai,0)),"")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205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203">
        <f t="shared" si="12"/>
        <v>14450</v>
      </c>
      <c r="O79" s="203" t="str">
        <f t="shared" si="13"/>
        <v>Σαρωνικού</v>
      </c>
    </row>
    <row r="80" spans="1:15" x14ac:dyDescent="0.25">
      <c r="A80" s="205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31" t="s">
        <v>653</v>
      </c>
      <c r="G80" s="231">
        <v>14484</v>
      </c>
      <c r="H80" t="str">
        <f>IFERROR(INDEX(DimosNaiOxi,MATCH(ΤΚ!E80,DimosNai,0)),"")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205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203">
        <f t="shared" si="12"/>
        <v>14484</v>
      </c>
      <c r="O80" s="203" t="str">
        <f t="shared" si="13"/>
        <v>Σπάτων - Αρτέμιδος</v>
      </c>
    </row>
    <row r="81" spans="1:15" x14ac:dyDescent="0.25">
      <c r="A81" s="205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31" t="s">
        <v>654</v>
      </c>
      <c r="G81" s="231">
        <v>14486</v>
      </c>
      <c r="H81" t="str">
        <f>IFERROR(INDEX(DimosNaiOxi,MATCH(ΤΚ!E81,DimosNai,0)),"")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205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203">
        <f t="shared" si="12"/>
        <v>14486</v>
      </c>
      <c r="O81" s="203" t="str">
        <f t="shared" si="13"/>
        <v>Σπετσών</v>
      </c>
    </row>
    <row r="82" spans="1:15" x14ac:dyDescent="0.25">
      <c r="A82" s="205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31" t="s">
        <v>655</v>
      </c>
      <c r="G82" s="231">
        <v>14508</v>
      </c>
      <c r="H82" t="str">
        <f>IFERROR(INDEX(DimosNaiOxi,MATCH(ΤΚ!E82,DimosNai,0)),"")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205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203">
        <f t="shared" si="12"/>
        <v>14508</v>
      </c>
      <c r="O82" s="203" t="str">
        <f t="shared" si="13"/>
        <v>Τροιζηνίας</v>
      </c>
    </row>
    <row r="83" spans="1:15" x14ac:dyDescent="0.25">
      <c r="A83" s="205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31" t="s">
        <v>656</v>
      </c>
      <c r="G83" s="231">
        <v>13916</v>
      </c>
      <c r="H83" t="str">
        <f>IFERROR(INDEX(DimosNaiOxi,MATCH(ΤΚ!E83,DimosNai,0)),"")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205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203">
        <f t="shared" si="12"/>
        <v>13916</v>
      </c>
      <c r="O83" s="203" t="str">
        <f t="shared" si="13"/>
        <v>Ύδρας</v>
      </c>
    </row>
    <row r="84" spans="1:15" x14ac:dyDescent="0.25">
      <c r="A84" s="205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31" t="s">
        <v>657</v>
      </c>
      <c r="G84" s="231">
        <v>14518</v>
      </c>
      <c r="H84" t="str">
        <f>IFERROR(INDEX(DimosNaiOxi,MATCH(ΤΚ!E84,DimosNai,0)),"")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205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203">
        <f t="shared" si="12"/>
        <v>14518</v>
      </c>
      <c r="O84" s="203" t="str">
        <f t="shared" si="13"/>
        <v>Φιλαδελφείας - Χαλκηδόνος</v>
      </c>
    </row>
    <row r="85" spans="1:15" x14ac:dyDescent="0.25">
      <c r="A85" s="205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31" t="s">
        <v>658</v>
      </c>
      <c r="G85" s="231">
        <v>14522</v>
      </c>
      <c r="H85" t="str">
        <f>IFERROR(INDEX(DimosNaiOxi,MATCH(ΤΚ!E85,DimosNai,0)),"")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205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203">
        <f t="shared" si="12"/>
        <v>14522</v>
      </c>
      <c r="O85" s="203" t="str">
        <f t="shared" si="13"/>
        <v>Φιλοθέης - Ψυχικού</v>
      </c>
    </row>
    <row r="86" spans="1:15" x14ac:dyDescent="0.25">
      <c r="A86" s="205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31" t="s">
        <v>659</v>
      </c>
      <c r="G86" s="231">
        <v>14530</v>
      </c>
      <c r="H86" t="str">
        <f>IFERROR(INDEX(DimosNaiOxi,MATCH(ΤΚ!E86,DimosNai,0)),"")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205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203">
        <f t="shared" si="12"/>
        <v>14530</v>
      </c>
      <c r="O86" s="203" t="str">
        <f t="shared" si="13"/>
        <v>Φυλής</v>
      </c>
    </row>
    <row r="87" spans="1:15" x14ac:dyDescent="0.25">
      <c r="A87" s="205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31" t="s">
        <v>660</v>
      </c>
      <c r="G87" s="231">
        <v>14544</v>
      </c>
      <c r="H87" t="str">
        <f>IFERROR(INDEX(DimosNaiOxi,MATCH(ΤΚ!E87,DimosNai,0)),"")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205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203">
        <f t="shared" si="12"/>
        <v>14544</v>
      </c>
      <c r="O87" s="203" t="str">
        <f t="shared" si="13"/>
        <v>Χαϊδαρίου</v>
      </c>
    </row>
    <row r="88" spans="1:15" x14ac:dyDescent="0.25">
      <c r="A88" s="205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31" t="s">
        <v>661</v>
      </c>
      <c r="G88" s="231">
        <v>14536</v>
      </c>
      <c r="H88" t="str">
        <f>IFERROR(INDEX(DimosNaiOxi,MATCH(ΤΚ!E88,DimosNai,0)),"")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205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203">
        <f t="shared" si="12"/>
        <v>14536</v>
      </c>
      <c r="O88" s="203" t="str">
        <f t="shared" si="13"/>
        <v>Χαλανδρίου</v>
      </c>
    </row>
    <row r="89" spans="1:15" x14ac:dyDescent="0.25">
      <c r="A89" s="205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31" t="s">
        <v>662</v>
      </c>
      <c r="G89" s="231">
        <v>14552</v>
      </c>
      <c r="H89" t="str">
        <f>IFERROR(INDEX(DimosNaiOxi,MATCH(ΤΚ!E89,DimosNai,0)),"")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205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203">
        <f t="shared" si="12"/>
        <v>14552</v>
      </c>
      <c r="O89" s="203" t="str">
        <f t="shared" si="13"/>
        <v>Ωρωπού</v>
      </c>
    </row>
    <row r="90" spans="1:15" x14ac:dyDescent="0.25">
      <c r="A90" s="205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31" t="s">
        <v>663</v>
      </c>
      <c r="G90" s="231">
        <v>13930</v>
      </c>
      <c r="H90" t="str">
        <f>IFERROR(INDEX(DimosNaiOxi,MATCH(ΤΚ!E90,DimosNai,0)),"")</f>
        <v/>
      </c>
      <c r="I90" t="str">
        <f>LOOKUP(B90,ΠΕΡΙΦΕΡΕΙΑ!$A$2:$A$14,ΠΕΡΙΦΕΡΕΙΑ!$B$2:$B$14)</f>
        <v>Ολική</v>
      </c>
      <c r="J90">
        <f t="shared" si="11"/>
        <v>89</v>
      </c>
      <c r="K90" s="205">
        <f t="shared" si="8"/>
        <v>89</v>
      </c>
      <c r="L90" t="str">
        <f t="shared" si="9"/>
        <v>ΒΟΡΕΙΟΥ ΑΙΓΑΙΟΥ</v>
      </c>
      <c r="M90" t="str">
        <f t="shared" si="10"/>
        <v>ΒΟΡΕΙΟΥ ΑΙΓΑΙΟΥ - ΑΓΙΟΥ ΕΥΣΤΡΑΤΙΟΥ</v>
      </c>
      <c r="N90" s="203">
        <f t="shared" si="12"/>
        <v>13930</v>
      </c>
      <c r="O90" s="203" t="str">
        <f t="shared" si="13"/>
        <v>Αγίου Ευστρατίου</v>
      </c>
    </row>
    <row r="91" spans="1:15" x14ac:dyDescent="0.25">
      <c r="A91" s="205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31" t="s">
        <v>664</v>
      </c>
      <c r="G91" s="231">
        <v>14152</v>
      </c>
      <c r="H91" t="str">
        <f>IFERROR(INDEX(DimosNaiOxi,MATCH(ΤΚ!E91,DimosNai,0)),"")</f>
        <v/>
      </c>
      <c r="I91" t="str">
        <f>LOOKUP(B91,ΠΕΡΙΦΕΡΕΙΑ!$A$2:$A$14,ΠΕΡΙΦΕΡΕΙΑ!$B$2:$B$14)</f>
        <v>Ολική</v>
      </c>
      <c r="J91">
        <f t="shared" si="11"/>
        <v>90</v>
      </c>
      <c r="K91" s="205">
        <f t="shared" si="8"/>
        <v>90</v>
      </c>
      <c r="L91" t="str">
        <f t="shared" si="9"/>
        <v>ΒΟΡΕΙΟΥ ΑΙΓΑΙΟΥ</v>
      </c>
      <c r="M91" t="str">
        <f t="shared" si="10"/>
        <v>ΒΟΡΕΙΟΥ ΑΙΓΑΙΟΥ - ΙΚΑΡΙΑΣ</v>
      </c>
      <c r="N91" s="203">
        <f t="shared" si="12"/>
        <v>14152</v>
      </c>
      <c r="O91" s="203" t="str">
        <f t="shared" si="13"/>
        <v>Ικαρίας</v>
      </c>
    </row>
    <row r="92" spans="1:15" x14ac:dyDescent="0.25">
      <c r="A92" s="205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31" t="s">
        <v>665</v>
      </c>
      <c r="G92" s="231">
        <v>14240</v>
      </c>
      <c r="H92" t="str">
        <f>IFERROR(INDEX(DimosNaiOxi,MATCH(ΤΚ!E92,DimosNai,0)),"")</f>
        <v/>
      </c>
      <c r="I92" t="str">
        <f>LOOKUP(B92,ΠΕΡΙΦΕΡΕΙΑ!$A$2:$A$14,ΠΕΡΙΦΕΡΕΙΑ!$B$2:$B$14)</f>
        <v>Ολική</v>
      </c>
      <c r="J92">
        <f t="shared" si="11"/>
        <v>91</v>
      </c>
      <c r="K92" s="205">
        <f t="shared" si="8"/>
        <v>91</v>
      </c>
      <c r="L92" t="str">
        <f t="shared" si="9"/>
        <v>ΒΟΡΕΙΟΥ ΑΙΓΑΙΟΥ</v>
      </c>
      <c r="M92" t="str">
        <f t="shared" si="10"/>
        <v>ΒΟΡΕΙΟΥ ΑΙΓΑΙΟΥ - ΛΕΣΒΟΥ</v>
      </c>
      <c r="N92" s="203">
        <f t="shared" si="12"/>
        <v>14240</v>
      </c>
      <c r="O92" s="203" t="str">
        <f t="shared" si="13"/>
        <v>Λέσβου</v>
      </c>
    </row>
    <row r="93" spans="1:15" x14ac:dyDescent="0.25">
      <c r="A93" s="205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31" t="s">
        <v>666</v>
      </c>
      <c r="G93" s="231">
        <v>14242</v>
      </c>
      <c r="H93" t="str">
        <f>IFERROR(INDEX(DimosNaiOxi,MATCH(ΤΚ!E93,DimosNai,0)),"")</f>
        <v/>
      </c>
      <c r="I93" t="str">
        <f>LOOKUP(B93,ΠΕΡΙΦΕΡΕΙΑ!$A$2:$A$14,ΠΕΡΙΦΕΡΕΙΑ!$B$2:$B$14)</f>
        <v>Ολική</v>
      </c>
      <c r="J93">
        <f t="shared" si="11"/>
        <v>92</v>
      </c>
      <c r="K93" s="205">
        <f t="shared" si="8"/>
        <v>92</v>
      </c>
      <c r="L93" t="str">
        <f t="shared" si="9"/>
        <v>ΒΟΡΕΙΟΥ ΑΙΓΑΙΟΥ</v>
      </c>
      <c r="M93" t="str">
        <f t="shared" si="10"/>
        <v>ΒΟΡΕΙΟΥ ΑΙΓΑΙΟΥ - ΛΗΜΝΟΥ</v>
      </c>
      <c r="N93" s="203">
        <f t="shared" si="12"/>
        <v>14242</v>
      </c>
      <c r="O93" s="203" t="str">
        <f t="shared" si="13"/>
        <v>Λήμνου</v>
      </c>
    </row>
    <row r="94" spans="1:15" x14ac:dyDescent="0.25">
      <c r="A94" s="205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31" t="s">
        <v>667</v>
      </c>
      <c r="G94" s="231">
        <v>14352</v>
      </c>
      <c r="H94" t="str">
        <f>IFERROR(INDEX(DimosNaiOxi,MATCH(ΤΚ!E94,DimosNai,0)),"")</f>
        <v/>
      </c>
      <c r="I94" t="str">
        <f>LOOKUP(B94,ΠΕΡΙΦΕΡΕΙΑ!$A$2:$A$14,ΠΕΡΙΦΕΡΕΙΑ!$B$2:$B$14)</f>
        <v>Ολική</v>
      </c>
      <c r="J94">
        <f t="shared" si="11"/>
        <v>93</v>
      </c>
      <c r="K94" s="205">
        <f t="shared" si="8"/>
        <v>93</v>
      </c>
      <c r="L94" t="str">
        <f t="shared" si="9"/>
        <v>ΒΟΡΕΙΟΥ ΑΙΓΑΙΟΥ</v>
      </c>
      <c r="M94" t="str">
        <f t="shared" si="10"/>
        <v>ΒΟΡΕΙΟΥ ΑΙΓΑΙΟΥ - ΟΙΝΟΥΣΣΩΝ</v>
      </c>
      <c r="N94" s="203">
        <f t="shared" si="12"/>
        <v>14352</v>
      </c>
      <c r="O94" s="203" t="str">
        <f t="shared" si="13"/>
        <v>Οινουσσών</v>
      </c>
    </row>
    <row r="95" spans="1:15" x14ac:dyDescent="0.25">
      <c r="A95" s="205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31" t="s">
        <v>668</v>
      </c>
      <c r="G95" s="231">
        <v>14438</v>
      </c>
      <c r="H95" t="str">
        <f>IFERROR(INDEX(DimosNaiOxi,MATCH(ΤΚ!E95,DimosNai,0)),"")</f>
        <v/>
      </c>
      <c r="I95" t="str">
        <f>LOOKUP(B95,ΠΕΡΙΦΕΡΕΙΑ!$A$2:$A$14,ΠΕΡΙΦΕΡΕΙΑ!$B$2:$B$14)</f>
        <v>Ολική</v>
      </c>
      <c r="J95">
        <f t="shared" si="11"/>
        <v>94</v>
      </c>
      <c r="K95" s="205">
        <f t="shared" si="8"/>
        <v>94</v>
      </c>
      <c r="L95" t="str">
        <f t="shared" si="9"/>
        <v>ΒΟΡΕΙΟΥ ΑΙΓΑΙΟΥ</v>
      </c>
      <c r="M95" t="str">
        <f t="shared" si="10"/>
        <v>ΒΟΡΕΙΟΥ ΑΙΓΑΙΟΥ - ΣΑΜΟΥ</v>
      </c>
      <c r="N95" s="203">
        <f t="shared" si="12"/>
        <v>14438</v>
      </c>
      <c r="O95" s="203" t="str">
        <f t="shared" si="13"/>
        <v>Σάμου</v>
      </c>
    </row>
    <row r="96" spans="1:15" x14ac:dyDescent="0.25">
      <c r="A96" s="205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31" t="s">
        <v>669</v>
      </c>
      <c r="G96" s="231">
        <v>14526</v>
      </c>
      <c r="H96" t="str">
        <f>IFERROR(INDEX(DimosNaiOxi,MATCH(ΤΚ!E96,DimosNai,0)),"")</f>
        <v/>
      </c>
      <c r="I96" t="str">
        <f>LOOKUP(B96,ΠΕΡΙΦΕΡΕΙΑ!$A$2:$A$14,ΠΕΡΙΦΕΡΕΙΑ!$B$2:$B$14)</f>
        <v>Ολική</v>
      </c>
      <c r="J96">
        <f t="shared" si="11"/>
        <v>95</v>
      </c>
      <c r="K96" s="205">
        <f t="shared" si="8"/>
        <v>95</v>
      </c>
      <c r="L96" t="str">
        <f t="shared" si="9"/>
        <v>ΒΟΡΕΙΟΥ ΑΙΓΑΙΟΥ</v>
      </c>
      <c r="M96" t="str">
        <f t="shared" si="10"/>
        <v>ΒΟΡΕΙΟΥ ΑΙΓΑΙΟΥ - ΦΟΥΡΝΩΝ ΚΟΡΣΕΩΝ</v>
      </c>
      <c r="N96" s="203">
        <f t="shared" si="12"/>
        <v>14526</v>
      </c>
      <c r="O96" s="203" t="str">
        <f t="shared" si="13"/>
        <v>Φούρνων Κορσεών</v>
      </c>
    </row>
    <row r="97" spans="1:15" x14ac:dyDescent="0.25">
      <c r="A97" s="205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31" t="s">
        <v>670</v>
      </c>
      <c r="G97" s="231">
        <v>14534</v>
      </c>
      <c r="H97" t="str">
        <f>IFERROR(INDEX(DimosNaiOxi,MATCH(ΤΚ!E97,DimosNai,0)),"")</f>
        <v/>
      </c>
      <c r="I97" t="str">
        <f>LOOKUP(B97,ΠΕΡΙΦΕΡΕΙΑ!$A$2:$A$14,ΠΕΡΙΦΕΡΕΙΑ!$B$2:$B$14)</f>
        <v>Ολική</v>
      </c>
      <c r="J97">
        <f t="shared" si="11"/>
        <v>96</v>
      </c>
      <c r="K97" s="205">
        <f t="shared" si="8"/>
        <v>96</v>
      </c>
      <c r="L97" t="str">
        <f t="shared" si="9"/>
        <v>ΒΟΡΕΙΟΥ ΑΙΓΑΙΟΥ</v>
      </c>
      <c r="M97" t="str">
        <f t="shared" si="10"/>
        <v>ΒΟΡΕΙΟΥ ΑΙΓΑΙΟΥ - ΧΙΟΥ</v>
      </c>
      <c r="N97" s="203">
        <f t="shared" si="12"/>
        <v>14534</v>
      </c>
      <c r="O97" s="203" t="str">
        <f t="shared" si="13"/>
        <v>Χίου</v>
      </c>
    </row>
    <row r="98" spans="1:15" x14ac:dyDescent="0.25">
      <c r="A98" s="205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31" t="s">
        <v>671</v>
      </c>
      <c r="G98" s="231">
        <v>14548</v>
      </c>
      <c r="H98" t="str">
        <f>IFERROR(INDEX(DimosNaiOxi,MATCH(ΤΚ!E98,DimosNai,0)),"")</f>
        <v/>
      </c>
      <c r="I98" t="str">
        <f>LOOKUP(B98,ΠΕΡΙΦΕΡΕΙΑ!$A$2:$A$14,ΠΕΡΙΦΕΡΕΙΑ!$B$2:$B$14)</f>
        <v>Ολική</v>
      </c>
      <c r="J98">
        <f t="shared" si="11"/>
        <v>97</v>
      </c>
      <c r="K98" s="205">
        <f t="shared" si="8"/>
        <v>97</v>
      </c>
      <c r="L98" t="str">
        <f t="shared" si="9"/>
        <v>ΒΟΡΕΙΟΥ ΑΙΓΑΙΟΥ</v>
      </c>
      <c r="M98" t="str">
        <f t="shared" si="10"/>
        <v>ΒΟΡΕΙΟΥ ΑΙΓΑΙΟΥ - ΨΑΡΩΝ</v>
      </c>
      <c r="N98" s="203">
        <f t="shared" si="12"/>
        <v>14548</v>
      </c>
      <c r="O98" s="203" t="str">
        <f t="shared" si="13"/>
        <v>Ψαρών</v>
      </c>
    </row>
    <row r="99" spans="1:15" x14ac:dyDescent="0.25">
      <c r="A99" s="205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31" t="s">
        <v>672</v>
      </c>
      <c r="G99" s="231">
        <v>13944</v>
      </c>
      <c r="H99" t="str">
        <f>IFERROR(INDEX(DimosNaiOxi,MATCH(ΤΚ!E99,DimosNai,0)),"")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205">
        <f t="shared" si="8"/>
        <v>98</v>
      </c>
      <c r="L99" t="str">
        <f t="shared" si="9"/>
        <v>ΔΥΤΙΚΗΣ ΕΛΛΑΔΑΣ</v>
      </c>
      <c r="M99" t="str">
        <f t="shared" si="10"/>
        <v>ΔΥΤΙΚΗΣ ΕΛΛΑΔΑΣ - ΑΓΡΙΝΙΟΥ</v>
      </c>
      <c r="N99" s="203">
        <f t="shared" si="12"/>
        <v>13944</v>
      </c>
      <c r="O99" s="203" t="str">
        <f t="shared" si="13"/>
        <v>Αγρινίου</v>
      </c>
    </row>
    <row r="100" spans="1:15" x14ac:dyDescent="0.25">
      <c r="A100" s="205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31" t="s">
        <v>673</v>
      </c>
      <c r="G100" s="231">
        <v>13950</v>
      </c>
      <c r="H100" t="str">
        <f>IFERROR(INDEX(DimosNaiOxi,MATCH(ΤΚ!E100,DimosNai,0)),"")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205">
        <f t="shared" si="8"/>
        <v>99</v>
      </c>
      <c r="L100" t="str">
        <f t="shared" si="9"/>
        <v>ΔΥΤΙΚΗΣ ΕΛΛΑΔΑΣ</v>
      </c>
      <c r="M100" t="str">
        <f t="shared" si="10"/>
        <v>ΔΥΤΙΚΗΣ ΕΛΛΑΔΑΣ - ΑΙΓΙΑΛΕΙΑΣ</v>
      </c>
      <c r="N100" s="203">
        <f t="shared" si="12"/>
        <v>13950</v>
      </c>
      <c r="O100" s="203" t="str">
        <f t="shared" si="13"/>
        <v>Αιγιαλείας</v>
      </c>
    </row>
    <row r="101" spans="1:15" x14ac:dyDescent="0.25">
      <c r="A101" s="205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31" t="s">
        <v>674</v>
      </c>
      <c r="G101" s="231">
        <v>13906</v>
      </c>
      <c r="H101" t="str">
        <f>IFERROR(INDEX(DimosNaiOxi,MATCH(ΤΚ!E101,DimosNai,0)),"")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205">
        <f t="shared" si="8"/>
        <v>100</v>
      </c>
      <c r="L101" t="str">
        <f t="shared" si="9"/>
        <v>ΔΥΤΙΚΗΣ ΕΛΛΑΔΑΣ</v>
      </c>
      <c r="M101" t="str">
        <f t="shared" si="10"/>
        <v>ΔΥΤΙΚΗΣ ΕΛΛΑΔΑΣ - ΑΚΤΙΟΥ – ΒΟΝΙΤΣΑΣ</v>
      </c>
      <c r="N101" s="203">
        <f t="shared" si="12"/>
        <v>13906</v>
      </c>
      <c r="O101" s="203" t="str">
        <f t="shared" si="13"/>
        <v>Άκτιου - Βόνιτσας</v>
      </c>
    </row>
    <row r="102" spans="1:15" x14ac:dyDescent="0.25">
      <c r="A102" s="205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31" t="s">
        <v>675</v>
      </c>
      <c r="G102" s="231">
        <v>13980</v>
      </c>
      <c r="H102" t="str">
        <f>IFERROR(INDEX(DimosNaiOxi,MATCH(ΤΚ!E102,DimosNai,0)),"")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205">
        <f t="shared" si="8"/>
        <v>101</v>
      </c>
      <c r="L102" t="str">
        <f t="shared" si="9"/>
        <v>ΔΥΤΙΚΗΣ ΕΛΛΑΔΑΣ</v>
      </c>
      <c r="M102" t="str">
        <f t="shared" si="10"/>
        <v>ΔΥΤΙΚΗΣ ΕΛΛΑΔΑΣ - ΑΜΦΙΛΟΧΙΑΣ</v>
      </c>
      <c r="N102" s="203">
        <f t="shared" si="12"/>
        <v>13980</v>
      </c>
      <c r="O102" s="203" t="str">
        <f t="shared" si="13"/>
        <v>Αμφιλοχίας</v>
      </c>
    </row>
    <row r="103" spans="1:15" x14ac:dyDescent="0.25">
      <c r="A103" s="205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31" t="s">
        <v>676</v>
      </c>
      <c r="G103" s="231">
        <v>13988</v>
      </c>
      <c r="H103" t="str">
        <f>IFERROR(INDEX(DimosNaiOxi,MATCH(ΤΚ!E103,DimosNai,0)),"")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205">
        <f t="shared" si="8"/>
        <v>102</v>
      </c>
      <c r="L103" t="str">
        <f t="shared" si="9"/>
        <v>ΔΥΤΙΚΗΣ ΕΛΛΑΔΑΣ</v>
      </c>
      <c r="M103" t="str">
        <f t="shared" si="10"/>
        <v>ΔΥΤΙΚΗΣ ΕΛΛΑΔΑΣ - ΑΝΔΡΑΒΙΔΑΣ – ΚΥΛΛΗΝΗΣ</v>
      </c>
      <c r="N103" s="203">
        <f t="shared" si="12"/>
        <v>13988</v>
      </c>
      <c r="O103" s="203" t="str">
        <f t="shared" si="13"/>
        <v>Ανδραβίδας - Κυλλήνης</v>
      </c>
    </row>
    <row r="104" spans="1:15" x14ac:dyDescent="0.25">
      <c r="A104" s="205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31" t="s">
        <v>677</v>
      </c>
      <c r="G104" s="231">
        <v>13986</v>
      </c>
      <c r="H104" t="str">
        <f>IFERROR(INDEX(DimosNaiOxi,MATCH(ΤΚ!E104,DimosNai,0)),"")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205">
        <f t="shared" si="8"/>
        <v>103</v>
      </c>
      <c r="L104" t="str">
        <f t="shared" si="9"/>
        <v>ΔΥΤΙΚΗΣ ΕΛΛΑΔΑΣ</v>
      </c>
      <c r="M104" t="str">
        <f t="shared" si="10"/>
        <v>ΔΥΤΙΚΗΣ ΕΛΛΑΔΑΣ - ΑΝΔΡΙΤΣΑΙΝΑΣ – ΚΡΕΣΤΕΝΩΝ</v>
      </c>
      <c r="N104" s="203">
        <f t="shared" si="12"/>
        <v>13986</v>
      </c>
      <c r="O104" s="203" t="str">
        <f t="shared" si="13"/>
        <v>Ανδρίτσαινας - Κρεστένων</v>
      </c>
    </row>
    <row r="105" spans="1:15" x14ac:dyDescent="0.25">
      <c r="A105" s="205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31" t="s">
        <v>678</v>
      </c>
      <c r="G105" s="231">
        <v>14004</v>
      </c>
      <c r="H105" t="str">
        <f>IFERROR(INDEX(DimosNaiOxi,MATCH(ΤΚ!E105,DimosNai,0)),"")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205">
        <f t="shared" si="8"/>
        <v>104</v>
      </c>
      <c r="L105" t="str">
        <f t="shared" si="9"/>
        <v>ΔΥΤΙΚΗΣ ΕΛΛΑΔΑΣ</v>
      </c>
      <c r="M105" t="str">
        <f t="shared" si="10"/>
        <v>ΔΥΤΙΚΗΣ ΕΛΛΑΔΑΣ - ΑΡΧΑΙΑΣ ΟΛΥΜΠΙΑΣ</v>
      </c>
      <c r="N105" s="203">
        <f t="shared" si="12"/>
        <v>14004</v>
      </c>
      <c r="O105" s="203" t="str">
        <f t="shared" si="13"/>
        <v>Αρχαίας Ολυμπίας</v>
      </c>
    </row>
    <row r="106" spans="1:15" x14ac:dyDescent="0.25">
      <c r="A106" s="205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31" t="s">
        <v>679</v>
      </c>
      <c r="G106" s="231">
        <v>14076</v>
      </c>
      <c r="H106" t="str">
        <f>IFERROR(INDEX(DimosNaiOxi,MATCH(ΤΚ!E106,DimosNai,0)),"")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205">
        <f t="shared" si="8"/>
        <v>105</v>
      </c>
      <c r="L106" t="str">
        <f t="shared" si="9"/>
        <v>ΔΥΤΙΚΗΣ ΕΛΛΑΔΑΣ</v>
      </c>
      <c r="M106" t="str">
        <f t="shared" si="10"/>
        <v>ΔΥΤΙΚΗΣ ΕΛΛΑΔΑΣ - ΔΥΤΙΚΗΣ ΑΧΑΪΑΣ</v>
      </c>
      <c r="N106" s="203">
        <f t="shared" si="12"/>
        <v>14076</v>
      </c>
      <c r="O106" s="203" t="str">
        <f t="shared" si="13"/>
        <v>Δυτικής Αχαΐας</v>
      </c>
    </row>
    <row r="107" spans="1:15" x14ac:dyDescent="0.25">
      <c r="A107" s="205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31" t="s">
        <v>680</v>
      </c>
      <c r="G107" s="231">
        <v>14102</v>
      </c>
      <c r="H107" t="str">
        <f>IFERROR(INDEX(DimosNaiOxi,MATCH(ΤΚ!E107,DimosNai,0)),"")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205">
        <f t="shared" si="8"/>
        <v>106</v>
      </c>
      <c r="L107" t="str">
        <f t="shared" si="9"/>
        <v>ΔΥΤΙΚΗΣ ΕΛΛΑΔΑΣ</v>
      </c>
      <c r="M107" t="str">
        <f t="shared" si="10"/>
        <v>ΔΥΤΙΚΗΣ ΕΛΛΑΔΑΣ - ΕΡΥΜΑΝΘΟΥ</v>
      </c>
      <c r="N107" s="203">
        <f t="shared" si="12"/>
        <v>14102</v>
      </c>
      <c r="O107" s="203" t="str">
        <f t="shared" si="13"/>
        <v>Ερυμάνθου</v>
      </c>
    </row>
    <row r="108" spans="1:15" x14ac:dyDescent="0.25">
      <c r="A108" s="205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31" t="s">
        <v>681</v>
      </c>
      <c r="G108" s="231">
        <v>14114</v>
      </c>
      <c r="H108" t="str">
        <f>IFERROR(INDEX(DimosNaiOxi,MATCH(ΤΚ!E108,DimosNai,0)),"")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205">
        <f t="shared" si="8"/>
        <v>107</v>
      </c>
      <c r="L108" t="str">
        <f t="shared" si="9"/>
        <v>ΔΥΤΙΚΗΣ ΕΛΛΑΔΑΣ</v>
      </c>
      <c r="M108" t="str">
        <f t="shared" si="10"/>
        <v>ΔΥΤΙΚΗΣ ΕΛΛΑΔΑΣ - ΖΑΧΑΡΩΣ</v>
      </c>
      <c r="N108" s="203">
        <f t="shared" si="12"/>
        <v>14114</v>
      </c>
      <c r="O108" s="203" t="str">
        <f t="shared" si="13"/>
        <v>Ζαχάρως</v>
      </c>
    </row>
    <row r="109" spans="1:15" x14ac:dyDescent="0.25">
      <c r="A109" s="205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31" t="s">
        <v>682</v>
      </c>
      <c r="G109" s="231">
        <v>13914</v>
      </c>
      <c r="H109" t="str">
        <f>IFERROR(INDEX(DimosNaiOxi,MATCH(ΤΚ!E109,DimosNai,0)),"")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205">
        <f t="shared" si="8"/>
        <v>108</v>
      </c>
      <c r="L109" t="str">
        <f t="shared" si="9"/>
        <v>ΔΥΤΙΚΗΣ ΕΛΛΑΔΑΣ</v>
      </c>
      <c r="M109" t="str">
        <f t="shared" si="10"/>
        <v>ΔΥΤΙΚΗΣ ΕΛΛΑΔΑΣ - ΗΛΙΔΑΣ</v>
      </c>
      <c r="N109" s="203">
        <f t="shared" si="12"/>
        <v>13914</v>
      </c>
      <c r="O109" s="203" t="str">
        <f t="shared" si="13"/>
        <v>Ήλιδας</v>
      </c>
    </row>
    <row r="110" spans="1:15" x14ac:dyDescent="0.25">
      <c r="A110" s="205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31" t="s">
        <v>683</v>
      </c>
      <c r="G110" s="231">
        <v>14132</v>
      </c>
      <c r="H110" t="str">
        <f>IFERROR(INDEX(DimosNaiOxi,MATCH(ΤΚ!E110,DimosNai,0)),"")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205">
        <f t="shared" si="8"/>
        <v>109</v>
      </c>
      <c r="L110" t="str">
        <f t="shared" si="9"/>
        <v>ΔΥΤΙΚΗΣ ΕΛΛΑΔΑΣ</v>
      </c>
      <c r="M110" t="str">
        <f t="shared" si="10"/>
        <v>ΔΥΤΙΚΗΣ ΕΛΛΑΔΑΣ - ΘΕΡΜΟΥ</v>
      </c>
      <c r="N110" s="203">
        <f t="shared" si="12"/>
        <v>14132</v>
      </c>
      <c r="O110" s="203" t="str">
        <f t="shared" si="13"/>
        <v>Θέρμου</v>
      </c>
    </row>
    <row r="111" spans="1:15" x14ac:dyDescent="0.25">
      <c r="A111" s="205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31" t="s">
        <v>684</v>
      </c>
      <c r="G111" s="231">
        <v>14146</v>
      </c>
      <c r="H111" t="str">
        <f>IFERROR(INDEX(DimosNaiOxi,MATCH(ΤΚ!E111,DimosNai,0)),"")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205">
        <f t="shared" si="8"/>
        <v>110</v>
      </c>
      <c r="L111" t="str">
        <f t="shared" si="9"/>
        <v>ΔΥΤΙΚΗΣ ΕΛΛΑΔΑΣ</v>
      </c>
      <c r="M111" t="str">
        <f t="shared" si="10"/>
        <v>ΔΥΤΙΚΗΣ ΕΛΛΑΔΑΣ - ΙΕΡΑΣ ΠΟΛΗΣ ΜΕΣΟΛΟΓΓΙΟΥ</v>
      </c>
      <c r="N111" s="203">
        <f t="shared" si="12"/>
        <v>14146</v>
      </c>
      <c r="O111" s="203" t="str">
        <f t="shared" si="13"/>
        <v>Ιεράς Πόλης Μεσολογγίου</v>
      </c>
    </row>
    <row r="112" spans="1:15" x14ac:dyDescent="0.25">
      <c r="A112" s="205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31" t="s">
        <v>685</v>
      </c>
      <c r="G112" s="231">
        <v>14178</v>
      </c>
      <c r="H112" t="str">
        <f>IFERROR(INDEX(DimosNaiOxi,MATCH(ΤΚ!E112,DimosNai,0)),"")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205">
        <f t="shared" si="8"/>
        <v>111</v>
      </c>
      <c r="L112" t="str">
        <f t="shared" si="9"/>
        <v>ΔΥΤΙΚΗΣ ΕΛΛΑΔΑΣ</v>
      </c>
      <c r="M112" t="str">
        <f t="shared" si="10"/>
        <v>ΔΥΤΙΚΗΣ ΕΛΛΑΔΑΣ - ΚΑΛΑΒΡΥΤΩΝ</v>
      </c>
      <c r="N112" s="203">
        <f t="shared" si="12"/>
        <v>14178</v>
      </c>
      <c r="O112" s="203" t="str">
        <f t="shared" si="13"/>
        <v>Καλαβρύτων</v>
      </c>
    </row>
    <row r="113" spans="1:15" x14ac:dyDescent="0.25">
      <c r="A113" s="205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31" t="s">
        <v>686</v>
      </c>
      <c r="G113" s="231">
        <v>14332</v>
      </c>
      <c r="H113" t="str">
        <f>IFERROR(INDEX(DimosNaiOxi,MATCH(ΤΚ!E113,DimosNai,0)),"")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205">
        <f t="shared" si="8"/>
        <v>112</v>
      </c>
      <c r="L113" t="str">
        <f t="shared" si="9"/>
        <v>ΔΥΤΙΚΗΣ ΕΛΛΑΔΑΣ</v>
      </c>
      <c r="M113" t="str">
        <f t="shared" si="10"/>
        <v>ΔΥΤΙΚΗΣ ΕΛΛΑΔΑΣ - ΝΑΥΠΑΚΤΙΑΣ</v>
      </c>
      <c r="N113" s="203">
        <f t="shared" si="12"/>
        <v>14332</v>
      </c>
      <c r="O113" s="203" t="str">
        <f t="shared" si="13"/>
        <v>Ναυπακτίας</v>
      </c>
    </row>
    <row r="114" spans="1:15" x14ac:dyDescent="0.25">
      <c r="A114" s="205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31" t="s">
        <v>687</v>
      </c>
      <c r="G114" s="231">
        <v>14348</v>
      </c>
      <c r="H114" t="str">
        <f>IFERROR(INDEX(DimosNaiOxi,MATCH(ΤΚ!E114,DimosNai,0)),"")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205">
        <f t="shared" si="8"/>
        <v>113</v>
      </c>
      <c r="L114" t="str">
        <f t="shared" si="9"/>
        <v>ΔΥΤΙΚΗΣ ΕΛΛΑΔΑΣ</v>
      </c>
      <c r="M114" t="str">
        <f t="shared" si="10"/>
        <v>ΔΥΤΙΚΗΣ ΕΛΛΑΔΑΣ - ΞΗΡΟΜΕΡΟΥ</v>
      </c>
      <c r="N114" s="203">
        <f t="shared" si="12"/>
        <v>14348</v>
      </c>
      <c r="O114" s="203" t="str">
        <f t="shared" si="13"/>
        <v>Ξηρομέρου</v>
      </c>
    </row>
    <row r="115" spans="1:15" x14ac:dyDescent="0.25">
      <c r="A115" s="205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31" t="s">
        <v>688</v>
      </c>
      <c r="G115" s="231">
        <v>14402</v>
      </c>
      <c r="H115" t="str">
        <f>IFERROR(INDEX(DimosNaiOxi,MATCH(ΤΚ!E115,DimosNai,0)),"")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205">
        <f t="shared" si="8"/>
        <v>114</v>
      </c>
      <c r="L115" t="str">
        <f t="shared" si="9"/>
        <v>ΔΥΤΙΚΗΣ ΕΛΛΑΔΑΣ</v>
      </c>
      <c r="M115" t="str">
        <f t="shared" si="10"/>
        <v>ΔΥΤΙΚΗΣ ΕΛΛΑΔΑΣ - ΠΑΤΡΕΩΝ</v>
      </c>
      <c r="N115" s="203">
        <f t="shared" si="12"/>
        <v>14402</v>
      </c>
      <c r="O115" s="203" t="str">
        <f t="shared" si="13"/>
        <v>Πατρέων</v>
      </c>
    </row>
    <row r="116" spans="1:15" x14ac:dyDescent="0.25">
      <c r="A116" s="205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31" t="s">
        <v>689</v>
      </c>
      <c r="G116" s="231">
        <v>14414</v>
      </c>
      <c r="H116" t="str">
        <f>IFERROR(INDEX(DimosNaiOxi,MATCH(ΤΚ!E116,DimosNai,0)),"")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205">
        <f t="shared" si="8"/>
        <v>115</v>
      </c>
      <c r="L116" t="str">
        <f t="shared" si="9"/>
        <v>ΔΥΤΙΚΗΣ ΕΛΛΑΔΑΣ</v>
      </c>
      <c r="M116" t="str">
        <f t="shared" si="10"/>
        <v>ΔΥΤΙΚΗΣ ΕΛΛΑΔΑΣ - ΠΗΝΕΙΟΥ</v>
      </c>
      <c r="N116" s="203">
        <f t="shared" si="12"/>
        <v>14414</v>
      </c>
      <c r="O116" s="203" t="str">
        <f t="shared" si="13"/>
        <v>Πηνειού</v>
      </c>
    </row>
    <row r="117" spans="1:15" x14ac:dyDescent="0.25">
      <c r="A117" s="205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31" t="s">
        <v>690</v>
      </c>
      <c r="G117" s="231">
        <v>14380</v>
      </c>
      <c r="H117" t="str">
        <f>IFERROR(INDEX(DimosNaiOxi,MATCH(ΤΚ!E117,DimosNai,0)),"")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205">
        <f t="shared" si="8"/>
        <v>116</v>
      </c>
      <c r="L117" t="str">
        <f t="shared" si="9"/>
        <v>ΔΥΤΙΚΗΣ ΕΛΛΑΔΑΣ</v>
      </c>
      <c r="M117" t="str">
        <f t="shared" si="10"/>
        <v>ΔΥΤΙΚΗΣ ΕΛΛΑΔΑΣ - ΠΥΡΓΟΥ</v>
      </c>
      <c r="N117" s="203">
        <f t="shared" si="12"/>
        <v>14380</v>
      </c>
      <c r="O117" s="203" t="str">
        <f t="shared" si="13"/>
        <v>Πύργου</v>
      </c>
    </row>
    <row r="118" spans="1:15" x14ac:dyDescent="0.25">
      <c r="A118" s="205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31" t="s">
        <v>691</v>
      </c>
      <c r="G118" s="231">
        <v>13974</v>
      </c>
      <c r="H118" t="str">
        <f>IFERROR(INDEX(DimosNaiOxi,MATCH(ΤΚ!E118,DimosNai,0)),"")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205">
        <f t="shared" si="8"/>
        <v>117</v>
      </c>
      <c r="L118" t="str">
        <f t="shared" si="9"/>
        <v>ΔΥΤΙΚΗΣ ΜΑΚΕΔΟΝΙΑΣ</v>
      </c>
      <c r="M118" t="str">
        <f t="shared" si="10"/>
        <v>ΔΥΤΙΚΗΣ ΜΑΚΕΔΟΝΙΑΣ - ΑΜΥΝΤΑΙΟΥ</v>
      </c>
      <c r="N118" s="203">
        <f t="shared" si="12"/>
        <v>13974</v>
      </c>
      <c r="O118" s="203" t="str">
        <f t="shared" si="13"/>
        <v>Αμυνταίου</v>
      </c>
    </row>
    <row r="119" spans="1:15" x14ac:dyDescent="0.25">
      <c r="A119" s="205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31" t="s">
        <v>692</v>
      </c>
      <c r="G119" s="231">
        <v>14034</v>
      </c>
      <c r="H119" t="str">
        <f>IFERROR(INDEX(DimosNaiOxi,MATCH(ΤΚ!E119,DimosNai,0)),"")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205">
        <f t="shared" si="8"/>
        <v>118</v>
      </c>
      <c r="L119" t="str">
        <f t="shared" si="9"/>
        <v>ΔΥΤΙΚΗΣ ΜΑΚΕΔΟΝΙΑΣ</v>
      </c>
      <c r="M119" t="str">
        <f t="shared" si="10"/>
        <v>ΔΥΤΙΚΗΣ ΜΑΚΕΔΟΝΙΑΣ - ΒΟΪΟΥ</v>
      </c>
      <c r="N119" s="203">
        <f t="shared" si="12"/>
        <v>14034</v>
      </c>
      <c r="O119" s="203" t="str">
        <f t="shared" si="13"/>
        <v>Βοϊου</v>
      </c>
    </row>
    <row r="120" spans="1:15" x14ac:dyDescent="0.25">
      <c r="A120" s="205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31" t="s">
        <v>693</v>
      </c>
      <c r="G120" s="231">
        <v>14050</v>
      </c>
      <c r="H120" t="str">
        <f>IFERROR(INDEX(DimosNaiOxi,MATCH(ΤΚ!E120,DimosNai,0)),"")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205">
        <f t="shared" si="8"/>
        <v>119</v>
      </c>
      <c r="L120" t="str">
        <f t="shared" si="9"/>
        <v>ΔΥΤΙΚΗΣ ΜΑΚΕΔΟΝΙΑΣ</v>
      </c>
      <c r="M120" t="str">
        <f t="shared" si="10"/>
        <v>ΔΥΤΙΚΗΣ ΜΑΚΕΔΟΝΙΑΣ - ΓΡΕΒΕΝΩΝ</v>
      </c>
      <c r="N120" s="203">
        <f t="shared" si="12"/>
        <v>14050</v>
      </c>
      <c r="O120" s="203" t="str">
        <f t="shared" si="13"/>
        <v>Γρεβενών</v>
      </c>
    </row>
    <row r="121" spans="1:15" x14ac:dyDescent="0.25">
      <c r="A121" s="205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31" t="s">
        <v>694</v>
      </c>
      <c r="G121" s="231">
        <v>14060</v>
      </c>
      <c r="H121" t="str">
        <f>IFERROR(INDEX(DimosNaiOxi,MATCH(ΤΚ!E121,DimosNai,0)),"")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205">
        <f t="shared" si="8"/>
        <v>120</v>
      </c>
      <c r="L121" t="str">
        <f t="shared" si="9"/>
        <v>ΔΥΤΙΚΗΣ ΜΑΚΕΔΟΝΙΑΣ</v>
      </c>
      <c r="M121" t="str">
        <f t="shared" si="10"/>
        <v>ΔΥΤΙΚΗΣ ΜΑΚΕΔΟΝΙΑΣ - ΔΕΣΚΑΤΗΣ</v>
      </c>
      <c r="N121" s="203">
        <f t="shared" si="12"/>
        <v>14060</v>
      </c>
      <c r="O121" s="203" t="str">
        <f t="shared" si="13"/>
        <v>Δεσκάτης</v>
      </c>
    </row>
    <row r="122" spans="1:15" x14ac:dyDescent="0.25">
      <c r="A122" s="205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31" t="s">
        <v>695</v>
      </c>
      <c r="G122" s="231">
        <v>14094</v>
      </c>
      <c r="H122" t="str">
        <f>IFERROR(INDEX(DimosNaiOxi,MATCH(ΤΚ!E122,DimosNai,0)),"")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205">
        <f t="shared" si="8"/>
        <v>121</v>
      </c>
      <c r="L122" t="str">
        <f t="shared" si="9"/>
        <v>ΔΥΤΙΚΗΣ ΜΑΚΕΔΟΝΙΑΣ</v>
      </c>
      <c r="M122" t="str">
        <f t="shared" si="10"/>
        <v>ΔΥΤΙΚΗΣ ΜΑΚΕΔΟΝΙΑΣ - ΕΟΡΔΑΙΑΣ</v>
      </c>
      <c r="N122" s="203">
        <f t="shared" si="12"/>
        <v>14094</v>
      </c>
      <c r="O122" s="203" t="str">
        <f t="shared" si="13"/>
        <v>Εορδαίας</v>
      </c>
    </row>
    <row r="123" spans="1:15" x14ac:dyDescent="0.25">
      <c r="A123" s="205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31" t="s">
        <v>696</v>
      </c>
      <c r="G123" s="231">
        <v>14202</v>
      </c>
      <c r="H123" t="str">
        <f>IFERROR(INDEX(DimosNaiOxi,MATCH(ΤΚ!E123,DimosNai,0)),"")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205">
        <f t="shared" si="8"/>
        <v>122</v>
      </c>
      <c r="L123" t="str">
        <f t="shared" si="9"/>
        <v>ΔΥΤΙΚΗΣ ΜΑΚΕΔΟΝΙΑΣ</v>
      </c>
      <c r="M123" t="str">
        <f t="shared" si="10"/>
        <v>ΔΥΤΙΚΗΣ ΜΑΚΕΔΟΝΙΑΣ - ΚΑΣΤΟΡΙΑΣ</v>
      </c>
      <c r="N123" s="203">
        <f t="shared" si="12"/>
        <v>14202</v>
      </c>
      <c r="O123" s="203" t="str">
        <f t="shared" si="13"/>
        <v>Καστοριάς</v>
      </c>
    </row>
    <row r="124" spans="1:15" x14ac:dyDescent="0.25">
      <c r="A124" s="205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31" t="s">
        <v>697</v>
      </c>
      <c r="G124" s="231">
        <v>14222</v>
      </c>
      <c r="H124" t="str">
        <f>IFERROR(INDEX(DimosNaiOxi,MATCH(ΤΚ!E124,DimosNai,0)),"")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205">
        <f t="shared" si="8"/>
        <v>123</v>
      </c>
      <c r="L124" t="str">
        <f t="shared" si="9"/>
        <v>ΔΥΤΙΚΗΣ ΜΑΚΕΔΟΝΙΑΣ</v>
      </c>
      <c r="M124" t="str">
        <f t="shared" si="10"/>
        <v>ΔΥΤΙΚΗΣ ΜΑΚΕΔΟΝΙΑΣ - ΚΟΖΑΝΗΣ</v>
      </c>
      <c r="N124" s="203">
        <f t="shared" si="12"/>
        <v>14222</v>
      </c>
      <c r="O124" s="203" t="str">
        <f t="shared" si="13"/>
        <v>Κοζάνης</v>
      </c>
    </row>
    <row r="125" spans="1:15" x14ac:dyDescent="0.25">
      <c r="A125" s="205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31" t="s">
        <v>698</v>
      </c>
      <c r="G125" s="231">
        <v>14338</v>
      </c>
      <c r="H125" t="str">
        <f>IFERROR(INDEX(DimosNaiOxi,MATCH(ΤΚ!E125,DimosNai,0)),"")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205">
        <f t="shared" si="8"/>
        <v>124</v>
      </c>
      <c r="L125" t="str">
        <f t="shared" si="9"/>
        <v>ΔΥΤΙΚΗΣ ΜΑΚΕΔΟΝΙΑΣ</v>
      </c>
      <c r="M125" t="str">
        <f t="shared" si="10"/>
        <v>ΔΥΤΙΚΗΣ ΜΑΚΕΔΟΝΙΑΣ - ΝΕΣΤΟΡΙΟΥ</v>
      </c>
      <c r="N125" s="203">
        <f t="shared" si="12"/>
        <v>14338</v>
      </c>
      <c r="O125" s="203" t="str">
        <f t="shared" si="13"/>
        <v>Νεστορίου</v>
      </c>
    </row>
    <row r="126" spans="1:15" x14ac:dyDescent="0.25">
      <c r="A126" s="205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31" t="s">
        <v>699</v>
      </c>
      <c r="G126" s="231">
        <v>14356</v>
      </c>
      <c r="H126" t="str">
        <f>IFERROR(INDEX(DimosNaiOxi,MATCH(ΤΚ!E126,DimosNai,0)),"")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205">
        <f t="shared" si="8"/>
        <v>125</v>
      </c>
      <c r="L126" t="str">
        <f t="shared" si="9"/>
        <v>ΔΥΤΙΚΗΣ ΜΑΚΕΔΟΝΙΑΣ</v>
      </c>
      <c r="M126" t="str">
        <f t="shared" si="10"/>
        <v>ΔΥΤΙΚΗΣ ΜΑΚΕΔΟΝΙΑΣ - ΟΡΕΣΤΙΔΟΣ</v>
      </c>
      <c r="N126" s="203">
        <f t="shared" si="12"/>
        <v>14356</v>
      </c>
      <c r="O126" s="203" t="str">
        <f t="shared" si="13"/>
        <v>Ορεστίδος</v>
      </c>
    </row>
    <row r="127" spans="1:15" x14ac:dyDescent="0.25">
      <c r="A127" s="205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31" t="s">
        <v>700</v>
      </c>
      <c r="G127" s="231">
        <v>14422</v>
      </c>
      <c r="H127" t="str">
        <f>IFERROR(INDEX(DimosNaiOxi,MATCH(ΤΚ!E127,DimosNai,0)),"")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205">
        <f t="shared" si="8"/>
        <v>126</v>
      </c>
      <c r="L127" t="str">
        <f t="shared" si="9"/>
        <v>ΔΥΤΙΚΗΣ ΜΑΚΕΔΟΝΙΑΣ</v>
      </c>
      <c r="M127" t="str">
        <f t="shared" si="10"/>
        <v>ΔΥΤΙΚΗΣ ΜΑΚΕΔΟΝΙΑΣ - ΠΡΕΣΠΩΝ</v>
      </c>
      <c r="N127" s="203">
        <f t="shared" si="12"/>
        <v>14422</v>
      </c>
      <c r="O127" s="203" t="str">
        <f t="shared" si="13"/>
        <v>Πρεσπών</v>
      </c>
    </row>
    <row r="128" spans="1:15" x14ac:dyDescent="0.25">
      <c r="A128" s="205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31" t="s">
        <v>701</v>
      </c>
      <c r="G128" s="231">
        <v>14454</v>
      </c>
      <c r="H128" t="str">
        <f>IFERROR(INDEX(DimosNaiOxi,MATCH(ΤΚ!E128,DimosNai,0)),"")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205">
        <f t="shared" si="8"/>
        <v>127</v>
      </c>
      <c r="L128" t="str">
        <f t="shared" si="9"/>
        <v>ΔΥΤΙΚΗΣ ΜΑΚΕΔΟΝΙΑΣ</v>
      </c>
      <c r="M128" t="str">
        <f t="shared" si="10"/>
        <v>ΔΥΤΙΚΗΣ ΜΑΚΕΔΟΝΙΑΣ - ΣΕΡΒΙΩΝ – ΒΕΛΒΕΝΤΟΥ</v>
      </c>
      <c r="N128" s="203">
        <f t="shared" si="12"/>
        <v>14454</v>
      </c>
      <c r="O128" s="203" t="str">
        <f t="shared" si="13"/>
        <v>Σερβίων - Βελβεντού</v>
      </c>
    </row>
    <row r="129" spans="1:15" x14ac:dyDescent="0.25">
      <c r="A129" s="205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31" t="s">
        <v>702</v>
      </c>
      <c r="G129" s="231">
        <v>14524</v>
      </c>
      <c r="H129" t="str">
        <f>IFERROR(INDEX(DimosNaiOxi,MATCH(ΤΚ!E129,DimosNai,0)),"")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205">
        <f t="shared" si="8"/>
        <v>128</v>
      </c>
      <c r="L129" t="str">
        <f t="shared" si="9"/>
        <v>ΔΥΤΙΚΗΣ ΜΑΚΕΔΟΝΙΑΣ</v>
      </c>
      <c r="M129" t="str">
        <f t="shared" si="10"/>
        <v>ΔΥΤΙΚΗΣ ΜΑΚΕΔΟΝΙΑΣ - ΦΛΩΡΙΝΑΣ</v>
      </c>
      <c r="N129" s="203">
        <f t="shared" si="12"/>
        <v>14524</v>
      </c>
      <c r="O129" s="203" t="str">
        <f t="shared" si="13"/>
        <v>Φλώρινας</v>
      </c>
    </row>
    <row r="130" spans="1:15" x14ac:dyDescent="0.25">
      <c r="A130" s="205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31" t="s">
        <v>703</v>
      </c>
      <c r="G130" s="231">
        <v>14002</v>
      </c>
      <c r="H130" t="str">
        <f>IFERROR(INDEX(DimosNaiOxi,MATCH(ΤΚ!E130,DimosNai,0)),"")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205">
        <f t="shared" ref="K130:K193" si="15">SMALL(J:J,A130)</f>
        <v>129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ΑΡΤΑΙΩΝ</v>
      </c>
      <c r="N130" s="203">
        <f t="shared" si="12"/>
        <v>14002</v>
      </c>
      <c r="O130" s="203" t="str">
        <f t="shared" si="13"/>
        <v>Αρταίων</v>
      </c>
    </row>
    <row r="131" spans="1:15" x14ac:dyDescent="0.25">
      <c r="A131" s="205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31" t="s">
        <v>704</v>
      </c>
      <c r="G131" s="231">
        <v>14032</v>
      </c>
      <c r="H131" t="str">
        <f>IFERROR(INDEX(DimosNaiOxi,MATCH(ΤΚ!E131,DimosNai,0)),"")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205">
        <f t="shared" si="15"/>
        <v>130</v>
      </c>
      <c r="L131" t="str">
        <f t="shared" si="16"/>
        <v>ΗΠΕΙΡΟΥ</v>
      </c>
      <c r="M131" t="str">
        <f t="shared" si="17"/>
        <v>ΗΠΕΙΡΟΥ - ΒΟΡΕΙΩΝ ΤΖΟΥΜΕΡΚΩΝ</v>
      </c>
      <c r="N131" s="203">
        <f t="shared" ref="N131:N194" si="19">IF(ISNUMBER(K131),LOOKUP(K131,A:A,G:G),"")</f>
        <v>14032</v>
      </c>
      <c r="O131" s="203" t="str">
        <f t="shared" ref="O131:O194" si="20">IF(ISNUMBER(K131),LOOKUP(K131,A:A,F:F),"")</f>
        <v>Βορείων Τζουμέρκων</v>
      </c>
    </row>
    <row r="132" spans="1:15" x14ac:dyDescent="0.25">
      <c r="A132" s="205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31" t="s">
        <v>705</v>
      </c>
      <c r="G132" s="231">
        <v>14044</v>
      </c>
      <c r="H132" t="str">
        <f>IFERROR(INDEX(DimosNaiOxi,MATCH(ΤΚ!E132,DimosNai,0)),"")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205">
        <f t="shared" si="15"/>
        <v>131</v>
      </c>
      <c r="L132" t="str">
        <f t="shared" si="16"/>
        <v>ΗΠΕΙΡΟΥ</v>
      </c>
      <c r="M132" t="str">
        <f t="shared" si="17"/>
        <v>ΗΠΕΙΡΟΥ - ΓΕΩΡΓΙΟΥ ΚΑΡΑΪΣΚΑΚΗ</v>
      </c>
      <c r="N132" s="203">
        <f t="shared" si="19"/>
        <v>14044</v>
      </c>
      <c r="O132" s="203" t="str">
        <f t="shared" si="20"/>
        <v>Γεωργίου Καραϊσκάκη</v>
      </c>
    </row>
    <row r="133" spans="1:15" x14ac:dyDescent="0.25">
      <c r="A133" s="205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31" t="s">
        <v>706</v>
      </c>
      <c r="G133" s="231">
        <v>14080</v>
      </c>
      <c r="H133" t="str">
        <f>IFERROR(INDEX(DimosNaiOxi,MATCH(ΤΚ!E133,DimosNai,0)),"")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205">
        <f t="shared" si="15"/>
        <v>132</v>
      </c>
      <c r="L133" t="str">
        <f t="shared" si="16"/>
        <v>ΗΠΕΙΡΟΥ</v>
      </c>
      <c r="M133" t="str">
        <f t="shared" si="17"/>
        <v>ΗΠΕΙΡΟΥ - ΔΩΔΩΝΗΣ</v>
      </c>
      <c r="N133" s="203">
        <f t="shared" si="19"/>
        <v>14080</v>
      </c>
      <c r="O133" s="203" t="str">
        <f t="shared" si="20"/>
        <v>Δωδώνης</v>
      </c>
    </row>
    <row r="134" spans="1:15" x14ac:dyDescent="0.25">
      <c r="A134" s="205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31" t="s">
        <v>707</v>
      </c>
      <c r="G134" s="231">
        <v>14110</v>
      </c>
      <c r="H134" t="str">
        <f>IFERROR(INDEX(DimosNaiOxi,MATCH(ΤΚ!E134,DimosNai,0)),"")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205">
        <f t="shared" si="15"/>
        <v>133</v>
      </c>
      <c r="L134" t="str">
        <f t="shared" si="16"/>
        <v>ΗΠΕΙΡΟΥ</v>
      </c>
      <c r="M134" t="str">
        <f t="shared" si="17"/>
        <v>ΗΠΕΙΡΟΥ - ΖΑΓΟΡΙΟΥ</v>
      </c>
      <c r="N134" s="203">
        <f t="shared" si="19"/>
        <v>14110</v>
      </c>
      <c r="O134" s="203" t="str">
        <f t="shared" si="20"/>
        <v>Ζαγορίου</v>
      </c>
    </row>
    <row r="135" spans="1:15" x14ac:dyDescent="0.25">
      <c r="A135" s="205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31" t="s">
        <v>708</v>
      </c>
      <c r="G135" s="231">
        <v>14116</v>
      </c>
      <c r="H135" t="str">
        <f>IFERROR(INDEX(DimosNaiOxi,MATCH(ΤΚ!E135,DimosNai,0)),"")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205">
        <f t="shared" si="15"/>
        <v>134</v>
      </c>
      <c r="L135" t="str">
        <f t="shared" si="16"/>
        <v>ΗΠΕΙΡΟΥ</v>
      </c>
      <c r="M135" t="str">
        <f t="shared" si="17"/>
        <v>ΗΠΕΙΡΟΥ - ΖΗΡΟΥ</v>
      </c>
      <c r="N135" s="203">
        <f t="shared" si="19"/>
        <v>14116</v>
      </c>
      <c r="O135" s="203" t="str">
        <f t="shared" si="20"/>
        <v>Ζηρού</v>
      </c>
    </row>
    <row r="136" spans="1:15" x14ac:dyDescent="0.25">
      <c r="A136" s="205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31" t="s">
        <v>709</v>
      </c>
      <c r="G136" s="231">
        <v>14106</v>
      </c>
      <c r="H136" t="str">
        <f>IFERROR(INDEX(DimosNaiOxi,MATCH(ΤΚ!E136,DimosNai,0)),"")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205">
        <f t="shared" si="15"/>
        <v>135</v>
      </c>
      <c r="L136" t="str">
        <f t="shared" si="16"/>
        <v>ΗΠΕΙΡΟΥ</v>
      </c>
      <c r="M136" t="str">
        <f t="shared" si="17"/>
        <v>ΗΠΕΙΡΟΥ - ΖΙΤΣΑΣ</v>
      </c>
      <c r="N136" s="203">
        <f t="shared" si="19"/>
        <v>14106</v>
      </c>
      <c r="O136" s="203" t="str">
        <f t="shared" si="20"/>
        <v>Ζίτσας</v>
      </c>
    </row>
    <row r="137" spans="1:15" x14ac:dyDescent="0.25">
      <c r="A137" s="205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31" t="s">
        <v>710</v>
      </c>
      <c r="G137" s="231">
        <v>14120</v>
      </c>
      <c r="H137" t="str">
        <f>IFERROR(INDEX(DimosNaiOxi,MATCH(ΤΚ!E137,DimosNai,0)),"")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205">
        <f t="shared" si="15"/>
        <v>136</v>
      </c>
      <c r="L137" t="str">
        <f t="shared" si="16"/>
        <v>ΗΠΕΙΡΟΥ</v>
      </c>
      <c r="M137" t="str">
        <f t="shared" si="17"/>
        <v>ΗΠΕΙΡΟΥ - ΗΓΟΥΜΕΝΙΤΣΑΣ</v>
      </c>
      <c r="N137" s="203">
        <f t="shared" si="19"/>
        <v>14120</v>
      </c>
      <c r="O137" s="203" t="str">
        <f t="shared" si="20"/>
        <v>Ηγουμενίτσας</v>
      </c>
    </row>
    <row r="138" spans="1:15" x14ac:dyDescent="0.25">
      <c r="A138" s="205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31" t="s">
        <v>711</v>
      </c>
      <c r="G138" s="231">
        <v>14158</v>
      </c>
      <c r="H138" t="str">
        <f>IFERROR(INDEX(DimosNaiOxi,MATCH(ΤΚ!E138,DimosNai,0)),"")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205">
        <f t="shared" si="15"/>
        <v>137</v>
      </c>
      <c r="L138" t="str">
        <f t="shared" si="16"/>
        <v>ΗΠΕΙΡΟΥ</v>
      </c>
      <c r="M138" t="str">
        <f t="shared" si="17"/>
        <v>ΗΠΕΙΡΟΥ - ΙΩΑΝΝΙΤΩΝ</v>
      </c>
      <c r="N138" s="203">
        <f t="shared" si="19"/>
        <v>14158</v>
      </c>
      <c r="O138" s="203" t="str">
        <f t="shared" si="20"/>
        <v>Ιωαννιτών</v>
      </c>
    </row>
    <row r="139" spans="1:15" x14ac:dyDescent="0.25">
      <c r="A139" s="205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31" t="s">
        <v>712</v>
      </c>
      <c r="G139" s="231">
        <v>14206</v>
      </c>
      <c r="H139" t="str">
        <f>IFERROR(INDEX(DimosNaiOxi,MATCH(ΤΚ!E139,DimosNai,0)),"")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205">
        <f t="shared" si="15"/>
        <v>138</v>
      </c>
      <c r="L139" t="str">
        <f t="shared" si="16"/>
        <v>ΗΠΕΙΡΟΥ</v>
      </c>
      <c r="M139" t="str">
        <f t="shared" si="17"/>
        <v>ΗΠΕΙΡΟΥ - ΚΕΝΤΡΙΚΩΝ ΤΖΟΥΜΕΡΚΩΝ</v>
      </c>
      <c r="N139" s="203">
        <f t="shared" si="19"/>
        <v>14206</v>
      </c>
      <c r="O139" s="203" t="str">
        <f t="shared" si="20"/>
        <v>Κεντρικών Τζουμέρκων</v>
      </c>
    </row>
    <row r="140" spans="1:15" x14ac:dyDescent="0.25">
      <c r="A140" s="205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31" t="s">
        <v>713</v>
      </c>
      <c r="G140" s="231">
        <v>14168</v>
      </c>
      <c r="H140" t="str">
        <f>IFERROR(INDEX(DimosNaiOxi,MATCH(ΤΚ!E140,DimosNai,0)),"")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205">
        <f t="shared" si="15"/>
        <v>139</v>
      </c>
      <c r="L140" t="str">
        <f t="shared" si="16"/>
        <v>ΗΠΕΙΡΟΥ</v>
      </c>
      <c r="M140" t="str">
        <f t="shared" si="17"/>
        <v>ΗΠΕΙΡΟΥ - ΚΟΝΙΤΣΑΣ</v>
      </c>
      <c r="N140" s="203">
        <f t="shared" si="19"/>
        <v>14168</v>
      </c>
      <c r="O140" s="203" t="str">
        <f t="shared" si="20"/>
        <v>Κόνιτσας</v>
      </c>
    </row>
    <row r="141" spans="1:15" x14ac:dyDescent="0.25">
      <c r="A141" s="205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31" t="s">
        <v>714</v>
      </c>
      <c r="G141" s="231">
        <v>14298</v>
      </c>
      <c r="H141" t="str">
        <f>IFERROR(INDEX(DimosNaiOxi,MATCH(ΤΚ!E141,DimosNai,0)),"")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205">
        <f t="shared" si="15"/>
        <v>140</v>
      </c>
      <c r="L141" t="str">
        <f t="shared" si="16"/>
        <v>ΗΠΕΙΡΟΥ</v>
      </c>
      <c r="M141" t="str">
        <f t="shared" si="17"/>
        <v>ΗΠΕΙΡΟΥ - ΜΕΤΣΟΒΟΥ</v>
      </c>
      <c r="N141" s="203">
        <f t="shared" si="19"/>
        <v>14298</v>
      </c>
      <c r="O141" s="203" t="str">
        <f t="shared" si="20"/>
        <v>Μετσόβου</v>
      </c>
    </row>
    <row r="142" spans="1:15" x14ac:dyDescent="0.25">
      <c r="A142" s="205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31" t="s">
        <v>715</v>
      </c>
      <c r="G142" s="231">
        <v>14340</v>
      </c>
      <c r="H142" t="str">
        <f>IFERROR(INDEX(DimosNaiOxi,MATCH(ΤΚ!E142,DimosNai,0)),"")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205">
        <f t="shared" si="15"/>
        <v>141</v>
      </c>
      <c r="L142" t="str">
        <f t="shared" si="16"/>
        <v>ΗΠΕΙΡΟΥ</v>
      </c>
      <c r="M142" t="str">
        <f t="shared" si="17"/>
        <v>ΗΠΕΙΡΟΥ - ΝΙΚΟΛΑΟΥ ΣΚΟΥΦΑ</v>
      </c>
      <c r="N142" s="203">
        <f t="shared" si="19"/>
        <v>14340</v>
      </c>
      <c r="O142" s="203" t="str">
        <f t="shared" si="20"/>
        <v>Νικολάου Σκουφά</v>
      </c>
    </row>
    <row r="143" spans="1:15" x14ac:dyDescent="0.25">
      <c r="A143" s="205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31" t="s">
        <v>716</v>
      </c>
      <c r="G143" s="231">
        <v>14364</v>
      </c>
      <c r="H143" t="str">
        <f>IFERROR(INDEX(DimosNaiOxi,MATCH(ΤΚ!E143,DimosNai,0)),"")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205">
        <f t="shared" si="15"/>
        <v>142</v>
      </c>
      <c r="L143" t="str">
        <f t="shared" si="16"/>
        <v>ΗΠΕΙΡΟΥ</v>
      </c>
      <c r="M143" t="str">
        <f t="shared" si="17"/>
        <v>ΗΠΕΙΡΟΥ - ΠΑΡΓΑΣ</v>
      </c>
      <c r="N143" s="203">
        <f t="shared" si="19"/>
        <v>14364</v>
      </c>
      <c r="O143" s="203" t="str">
        <f t="shared" si="20"/>
        <v>Πάργας</v>
      </c>
    </row>
    <row r="144" spans="1:15" x14ac:dyDescent="0.25">
      <c r="A144" s="205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31" t="s">
        <v>717</v>
      </c>
      <c r="G144" s="231">
        <v>14420</v>
      </c>
      <c r="H144" t="str">
        <f>IFERROR(INDEX(DimosNaiOxi,MATCH(ΤΚ!E144,DimosNai,0)),"")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205">
        <f t="shared" si="15"/>
        <v>143</v>
      </c>
      <c r="L144" t="str">
        <f t="shared" si="16"/>
        <v>ΗΠΕΙΡΟΥ</v>
      </c>
      <c r="M144" t="str">
        <f t="shared" si="17"/>
        <v>ΗΠΕΙΡΟΥ - ΠΡΕΒΕΖΑΣ</v>
      </c>
      <c r="N144" s="203">
        <f t="shared" si="19"/>
        <v>14420</v>
      </c>
      <c r="O144" s="203" t="str">
        <f t="shared" si="20"/>
        <v>Πρέβεζας</v>
      </c>
    </row>
    <row r="145" spans="1:15" x14ac:dyDescent="0.25">
      <c r="A145" s="205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31" t="s">
        <v>718</v>
      </c>
      <c r="G145" s="231">
        <v>14428</v>
      </c>
      <c r="H145" t="str">
        <f>IFERROR(INDEX(DimosNaiOxi,MATCH(ΤΚ!E145,DimosNai,0)),"")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205">
        <f t="shared" si="15"/>
        <v>144</v>
      </c>
      <c r="L145" t="str">
        <f t="shared" si="16"/>
        <v>ΗΠΕΙΡΟΥ</v>
      </c>
      <c r="M145" t="str">
        <f t="shared" si="17"/>
        <v>ΗΠΕΙΡΟΥ - ΠΩΓΩΝΙΟΥ</v>
      </c>
      <c r="N145" s="203">
        <f t="shared" si="19"/>
        <v>14428</v>
      </c>
      <c r="O145" s="203" t="str">
        <f t="shared" si="20"/>
        <v>Πωγωνίου</v>
      </c>
    </row>
    <row r="146" spans="1:15" x14ac:dyDescent="0.25">
      <c r="A146" s="205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31" t="s">
        <v>719</v>
      </c>
      <c r="G146" s="231">
        <v>14476</v>
      </c>
      <c r="H146" t="str">
        <f>IFERROR(INDEX(DimosNaiOxi,MATCH(ΤΚ!E146,DimosNai,0)),"")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205">
        <f t="shared" si="15"/>
        <v>145</v>
      </c>
      <c r="L146" t="str">
        <f t="shared" si="16"/>
        <v>ΗΠΕΙΡΟΥ</v>
      </c>
      <c r="M146" t="str">
        <f t="shared" si="17"/>
        <v>ΗΠΕΙΡΟΥ - ΣΟΥΛΙΟΥ</v>
      </c>
      <c r="N146" s="203">
        <f t="shared" si="19"/>
        <v>14476</v>
      </c>
      <c r="O146" s="203" t="str">
        <f t="shared" si="20"/>
        <v>Σουλίου</v>
      </c>
    </row>
    <row r="147" spans="1:15" x14ac:dyDescent="0.25">
      <c r="A147" s="205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31" t="s">
        <v>720</v>
      </c>
      <c r="G147" s="231">
        <v>14520</v>
      </c>
      <c r="H147" t="str">
        <f>IFERROR(INDEX(DimosNaiOxi,MATCH(ΤΚ!E147,DimosNai,0)),"")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205">
        <f t="shared" si="15"/>
        <v>146</v>
      </c>
      <c r="L147" t="str">
        <f t="shared" si="16"/>
        <v>ΗΠΕΙΡΟΥ</v>
      </c>
      <c r="M147" t="str">
        <f t="shared" si="17"/>
        <v>ΗΠΕΙΡΟΥ - ΦΙΛΙΑΤΩΝ</v>
      </c>
      <c r="N147" s="203">
        <f t="shared" si="19"/>
        <v>14520</v>
      </c>
      <c r="O147" s="203" t="str">
        <f t="shared" si="20"/>
        <v>Φιλιατών</v>
      </c>
    </row>
    <row r="148" spans="1:15" x14ac:dyDescent="0.25">
      <c r="A148" s="205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31" t="s">
        <v>721</v>
      </c>
      <c r="G148" s="231">
        <v>13938</v>
      </c>
      <c r="H148" t="str">
        <f>IFERROR(INDEX(DimosNaiOxi,MATCH(ΤΚ!E148,DimosNai,0)),"")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205">
        <f t="shared" si="15"/>
        <v>147</v>
      </c>
      <c r="L148" t="str">
        <f t="shared" si="16"/>
        <v>ΘΕΣΣΑΛΙΑΣ</v>
      </c>
      <c r="M148" t="str">
        <f t="shared" si="17"/>
        <v>ΘΕΣΣΑΛΙΑΣ - ΑΓΙΑΣ</v>
      </c>
      <c r="N148" s="203">
        <f t="shared" si="19"/>
        <v>13938</v>
      </c>
      <c r="O148" s="203" t="str">
        <f t="shared" si="20"/>
        <v>Αγιάς</v>
      </c>
    </row>
    <row r="149" spans="1:15" x14ac:dyDescent="0.25">
      <c r="A149" s="205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31" t="s">
        <v>722</v>
      </c>
      <c r="G149" s="231">
        <v>13960</v>
      </c>
      <c r="H149" t="str">
        <f>IFERROR(INDEX(DimosNaiOxi,MATCH(ΤΚ!E149,DimosNai,0)),"")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205">
        <f t="shared" si="15"/>
        <v>148</v>
      </c>
      <c r="L149" t="str">
        <f t="shared" si="16"/>
        <v>ΘΕΣΣΑΛΙΑΣ</v>
      </c>
      <c r="M149" t="str">
        <f t="shared" si="17"/>
        <v>ΘΕΣΣΑΛΙΑΣ - ΑΛΜΥΡΟΥ</v>
      </c>
      <c r="N149" s="203">
        <f t="shared" si="19"/>
        <v>13960</v>
      </c>
      <c r="O149" s="203" t="str">
        <f t="shared" si="20"/>
        <v>Αλμυρού</v>
      </c>
    </row>
    <row r="150" spans="1:15" x14ac:dyDescent="0.25">
      <c r="A150" s="205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31" t="s">
        <v>723</v>
      </c>
      <c r="G150" s="231">
        <v>13964</v>
      </c>
      <c r="H150" t="str">
        <f>IFERROR(INDEX(DimosNaiOxi,MATCH(ΤΚ!E150,DimosNai,0)),"")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205">
        <f t="shared" si="15"/>
        <v>149</v>
      </c>
      <c r="L150" t="str">
        <f t="shared" si="16"/>
        <v>ΘΕΣΣΑΛΙΑΣ</v>
      </c>
      <c r="M150" t="str">
        <f t="shared" si="17"/>
        <v>ΘΕΣΣΑΛΙΑΣ - ΑΛΟΝΝΗΣΟΥ</v>
      </c>
      <c r="N150" s="203">
        <f t="shared" si="19"/>
        <v>13964</v>
      </c>
      <c r="O150" s="203" t="str">
        <f t="shared" si="20"/>
        <v>Αλοννήσου</v>
      </c>
    </row>
    <row r="151" spans="1:15" x14ac:dyDescent="0.25">
      <c r="A151" s="205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31" t="s">
        <v>724</v>
      </c>
      <c r="G151" s="231">
        <v>13996</v>
      </c>
      <c r="H151" t="str">
        <f>IFERROR(INDEX(DimosNaiOxi,MATCH(ΤΚ!E151,DimosNai,0)),"")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205">
        <f t="shared" si="15"/>
        <v>150</v>
      </c>
      <c r="L151" t="str">
        <f t="shared" si="16"/>
        <v>ΘΕΣΣΑΛΙΑΣ</v>
      </c>
      <c r="M151" t="str">
        <f t="shared" si="17"/>
        <v>ΘΕΣΣΑΛΙΑΣ - ΑΡΓΙΘΕΑΣ</v>
      </c>
      <c r="N151" s="203">
        <f t="shared" si="19"/>
        <v>13996</v>
      </c>
      <c r="O151" s="203" t="str">
        <f t="shared" si="20"/>
        <v>Αργιθέας</v>
      </c>
    </row>
    <row r="152" spans="1:15" x14ac:dyDescent="0.25">
      <c r="A152" s="205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31" t="s">
        <v>725</v>
      </c>
      <c r="G152" s="231">
        <v>14022</v>
      </c>
      <c r="H152" t="str">
        <f>IFERROR(INDEX(DimosNaiOxi,MATCH(ΤΚ!E152,DimosNai,0)),"")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205">
        <f t="shared" si="15"/>
        <v>151</v>
      </c>
      <c r="L152" t="str">
        <f t="shared" si="16"/>
        <v>ΘΕΣΣΑΛΙΑΣ</v>
      </c>
      <c r="M152" t="str">
        <f t="shared" si="17"/>
        <v>ΘΕΣΣΑΛΙΑΣ - ΒΟΛΟΥ</v>
      </c>
      <c r="N152" s="203">
        <f t="shared" si="19"/>
        <v>14022</v>
      </c>
      <c r="O152" s="203" t="str">
        <f t="shared" si="20"/>
        <v>Βόλου</v>
      </c>
    </row>
    <row r="153" spans="1:15" x14ac:dyDescent="0.25">
      <c r="A153" s="205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31" t="s">
        <v>726</v>
      </c>
      <c r="G153" s="231">
        <v>14084</v>
      </c>
      <c r="H153" t="str">
        <f>IFERROR(INDEX(DimosNaiOxi,MATCH(ΤΚ!E153,DimosNai,0)),"")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205">
        <f t="shared" si="15"/>
        <v>152</v>
      </c>
      <c r="L153" t="str">
        <f t="shared" si="16"/>
        <v>ΘΕΣΣΑΛΙΑΣ</v>
      </c>
      <c r="M153" t="str">
        <f t="shared" si="17"/>
        <v>ΘΕΣΣΑΛΙΑΣ - ΕΛΑΣΣΟΝΑΣ</v>
      </c>
      <c r="N153" s="203">
        <f t="shared" si="19"/>
        <v>14084</v>
      </c>
      <c r="O153" s="203" t="str">
        <f t="shared" si="20"/>
        <v>Ελασσόνας</v>
      </c>
    </row>
    <row r="154" spans="1:15" x14ac:dyDescent="0.25">
      <c r="A154" s="205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31" t="s">
        <v>727</v>
      </c>
      <c r="G154" s="231">
        <v>14108</v>
      </c>
      <c r="H154" t="str">
        <f>IFERROR(INDEX(DimosNaiOxi,MATCH(ΤΚ!E154,DimosNai,0)),"")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205">
        <f t="shared" si="15"/>
        <v>153</v>
      </c>
      <c r="L154" t="str">
        <f t="shared" si="16"/>
        <v>ΘΕΣΣΑΛΙΑΣ</v>
      </c>
      <c r="M154" t="str">
        <f t="shared" si="17"/>
        <v>ΘΕΣΣΑΛΙΑΣ - ΖΑΓΟΡΑΣ – ΜΟΥΡΕΣΙΟΥ</v>
      </c>
      <c r="N154" s="203">
        <f t="shared" si="19"/>
        <v>14108</v>
      </c>
      <c r="O154" s="203" t="str">
        <f t="shared" si="20"/>
        <v>Ζαγοράς - Μουρεσίου</v>
      </c>
    </row>
    <row r="155" spans="1:15" x14ac:dyDescent="0.25">
      <c r="A155" s="205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31" t="s">
        <v>728</v>
      </c>
      <c r="G155" s="231">
        <v>14184</v>
      </c>
      <c r="H155" t="str">
        <f>IFERROR(INDEX(DimosNaiOxi,MATCH(ΤΚ!E155,DimosNai,0)),"")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205">
        <f t="shared" si="15"/>
        <v>154</v>
      </c>
      <c r="L155" t="str">
        <f t="shared" si="16"/>
        <v>ΘΕΣΣΑΛΙΑΣ</v>
      </c>
      <c r="M155" t="str">
        <f t="shared" si="17"/>
        <v>ΘΕΣΣΑΛΙΑΣ - ΚΑΛΑΜΠΑΚΑΣ</v>
      </c>
      <c r="N155" s="203">
        <f t="shared" si="19"/>
        <v>14184</v>
      </c>
      <c r="O155" s="203" t="str">
        <f t="shared" si="20"/>
        <v>Καλαμπάκας</v>
      </c>
    </row>
    <row r="156" spans="1:15" x14ac:dyDescent="0.25">
      <c r="A156" s="205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31" t="s">
        <v>729</v>
      </c>
      <c r="G156" s="231">
        <v>14194</v>
      </c>
      <c r="H156" t="str">
        <f>IFERROR(INDEX(DimosNaiOxi,MATCH(ΤΚ!E156,DimosNai,0)),"")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205">
        <f t="shared" si="15"/>
        <v>155</v>
      </c>
      <c r="L156" t="str">
        <f t="shared" si="16"/>
        <v>ΘΕΣΣΑΛΙΑΣ</v>
      </c>
      <c r="M156" t="str">
        <f t="shared" si="17"/>
        <v>ΘΕΣΣΑΛΙΑΣ - ΚΑΡΔΙΤΣΑΣ</v>
      </c>
      <c r="N156" s="203">
        <f t="shared" si="19"/>
        <v>14194</v>
      </c>
      <c r="O156" s="203" t="str">
        <f t="shared" si="20"/>
        <v>Καρδίτσας</v>
      </c>
    </row>
    <row r="157" spans="1:15" x14ac:dyDescent="0.25">
      <c r="A157" s="205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31" t="s">
        <v>730</v>
      </c>
      <c r="G157" s="231">
        <v>14214</v>
      </c>
      <c r="H157" t="str">
        <f>IFERROR(INDEX(DimosNaiOxi,MATCH(ΤΚ!E157,DimosNai,0)),"")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205">
        <f t="shared" si="15"/>
        <v>156</v>
      </c>
      <c r="L157" t="str">
        <f t="shared" si="16"/>
        <v>ΘΕΣΣΑΛΙΑΣ</v>
      </c>
      <c r="M157" t="str">
        <f t="shared" si="17"/>
        <v>ΘΕΣΣΑΛΙΑΣ - ΚΙΛΕΛΕΡ</v>
      </c>
      <c r="N157" s="203">
        <f t="shared" si="19"/>
        <v>14214</v>
      </c>
      <c r="O157" s="203" t="str">
        <f t="shared" si="20"/>
        <v>Κιλελέρ</v>
      </c>
    </row>
    <row r="158" spans="1:15" x14ac:dyDescent="0.25">
      <c r="A158" s="205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31" t="s">
        <v>731</v>
      </c>
      <c r="G158" s="231">
        <v>14250</v>
      </c>
      <c r="H158" t="str">
        <f>IFERROR(INDEX(DimosNaiOxi,MATCH(ΤΚ!E158,DimosNai,0)),"")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205">
        <f t="shared" si="15"/>
        <v>157</v>
      </c>
      <c r="L158" t="str">
        <f t="shared" si="16"/>
        <v>ΘΕΣΣΑΛΙΑΣ</v>
      </c>
      <c r="M158" t="str">
        <f t="shared" si="17"/>
        <v>ΘΕΣΣΑΛΙΑΣ - ΛΑΡΙΣΑΙΩΝ</v>
      </c>
      <c r="N158" s="203">
        <f t="shared" si="19"/>
        <v>14250</v>
      </c>
      <c r="O158" s="203" t="str">
        <f t="shared" si="20"/>
        <v>Λαρισαίων</v>
      </c>
    </row>
    <row r="159" spans="1:15" x14ac:dyDescent="0.25">
      <c r="A159" s="205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31" t="s">
        <v>732</v>
      </c>
      <c r="G159" s="231">
        <v>14244</v>
      </c>
      <c r="H159" t="str">
        <f>IFERROR(INDEX(DimosNaiOxi,MATCH(ΤΚ!E159,DimosNai,0)),"")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205">
        <f t="shared" si="15"/>
        <v>158</v>
      </c>
      <c r="L159" t="str">
        <f t="shared" si="16"/>
        <v>ΘΕΣΣΑΛΙΑΣ</v>
      </c>
      <c r="M159" t="str">
        <f t="shared" si="17"/>
        <v>ΘΕΣΣΑΛΙΑΣ - ΛΙΜΝΗΣ ΠΛΑΣΤΗΡΑ</v>
      </c>
      <c r="N159" s="203">
        <f t="shared" si="19"/>
        <v>14244</v>
      </c>
      <c r="O159" s="203" t="str">
        <f t="shared" si="20"/>
        <v>Λίμνης Πλαστήρα</v>
      </c>
    </row>
    <row r="160" spans="1:15" x14ac:dyDescent="0.25">
      <c r="A160" s="205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31" t="s">
        <v>733</v>
      </c>
      <c r="G160" s="231">
        <v>14306</v>
      </c>
      <c r="H160" t="str">
        <f>IFERROR(INDEX(DimosNaiOxi,MATCH(ΤΚ!E160,DimosNai,0)),"")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205">
        <f t="shared" si="15"/>
        <v>159</v>
      </c>
      <c r="L160" t="str">
        <f t="shared" si="16"/>
        <v>ΘΕΣΣΑΛΙΑΣ</v>
      </c>
      <c r="M160" t="str">
        <f t="shared" si="17"/>
        <v>ΘΕΣΣΑΛΙΑΣ - ΜΟΥΖΑΚΙΟΥ</v>
      </c>
      <c r="N160" s="203">
        <f t="shared" si="19"/>
        <v>14306</v>
      </c>
      <c r="O160" s="203" t="str">
        <f t="shared" si="20"/>
        <v>Μουζακίου</v>
      </c>
    </row>
    <row r="161" spans="1:15" x14ac:dyDescent="0.25">
      <c r="A161" s="205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31" t="s">
        <v>734</v>
      </c>
      <c r="G161" s="231">
        <v>14344</v>
      </c>
      <c r="H161" t="str">
        <f>IFERROR(INDEX(DimosNaiOxi,MATCH(ΤΚ!E161,DimosNai,0)),"")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205">
        <f t="shared" si="15"/>
        <v>160</v>
      </c>
      <c r="L161" t="str">
        <f t="shared" si="16"/>
        <v>ΘΕΣΣΑΛΙΑΣ</v>
      </c>
      <c r="M161" t="str">
        <f t="shared" si="17"/>
        <v>ΘΕΣΣΑΛΙΑΣ - ΝΟΤΙΟΥ ΠΗΛΙΟΥ</v>
      </c>
      <c r="N161" s="203">
        <f t="shared" si="19"/>
        <v>14344</v>
      </c>
      <c r="O161" s="203" t="str">
        <f t="shared" si="20"/>
        <v>Νοτίου Πηλίου</v>
      </c>
    </row>
    <row r="162" spans="1:15" x14ac:dyDescent="0.25">
      <c r="A162" s="205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31" t="s">
        <v>735</v>
      </c>
      <c r="G162" s="231">
        <v>14392</v>
      </c>
      <c r="H162" t="str">
        <f>IFERROR(INDEX(DimosNaiOxi,MATCH(ΤΚ!E162,DimosNai,0)),"")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205">
        <f t="shared" si="15"/>
        <v>161</v>
      </c>
      <c r="L162" t="str">
        <f t="shared" si="16"/>
        <v>ΘΕΣΣΑΛΙΑΣ</v>
      </c>
      <c r="M162" t="str">
        <f t="shared" si="17"/>
        <v>ΘΕΣΣΑΛΙΑΣ - ΠΑΛΑΜΑ</v>
      </c>
      <c r="N162" s="203">
        <f t="shared" si="19"/>
        <v>14392</v>
      </c>
      <c r="O162" s="203" t="str">
        <f t="shared" si="20"/>
        <v>Παλαμά</v>
      </c>
    </row>
    <row r="163" spans="1:15" x14ac:dyDescent="0.25">
      <c r="A163" s="205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31" t="s">
        <v>736</v>
      </c>
      <c r="G163" s="231">
        <v>14376</v>
      </c>
      <c r="H163" t="str">
        <f>IFERROR(INDEX(DimosNaiOxi,MATCH(ΤΚ!E163,DimosNai,0)),"")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205">
        <f t="shared" si="15"/>
        <v>162</v>
      </c>
      <c r="L163" t="str">
        <f t="shared" si="16"/>
        <v>ΘΕΣΣΑΛΙΑΣ</v>
      </c>
      <c r="M163" t="str">
        <f t="shared" si="17"/>
        <v>ΘΕΣΣΑΛΙΑΣ - ΠΥΛΗΣ</v>
      </c>
      <c r="N163" s="203">
        <f t="shared" si="19"/>
        <v>14376</v>
      </c>
      <c r="O163" s="203" t="str">
        <f t="shared" si="20"/>
        <v>Πύλης</v>
      </c>
    </row>
    <row r="164" spans="1:15" x14ac:dyDescent="0.25">
      <c r="A164" s="205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31" t="s">
        <v>737</v>
      </c>
      <c r="G164" s="231">
        <v>14430</v>
      </c>
      <c r="H164" t="str">
        <f>IFERROR(INDEX(DimosNaiOxi,MATCH(ΤΚ!E164,DimosNai,0)),"")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205">
        <f t="shared" si="15"/>
        <v>163</v>
      </c>
      <c r="L164" t="str">
        <f t="shared" si="16"/>
        <v>ΘΕΣΣΑΛΙΑΣ</v>
      </c>
      <c r="M164" t="str">
        <f t="shared" si="17"/>
        <v>ΘΕΣΣΑΛΙΑΣ - ΡΗΓΑ ΦΕΡΑΙΟΥ</v>
      </c>
      <c r="N164" s="203">
        <f t="shared" si="19"/>
        <v>14430</v>
      </c>
      <c r="O164" s="203" t="str">
        <f t="shared" si="20"/>
        <v>Ρήγα Φερραίου</v>
      </c>
    </row>
    <row r="165" spans="1:15" x14ac:dyDescent="0.25">
      <c r="A165" s="205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31" t="s">
        <v>738</v>
      </c>
      <c r="G165" s="231">
        <v>14472</v>
      </c>
      <c r="H165" t="str">
        <f>IFERROR(INDEX(DimosNaiOxi,MATCH(ΤΚ!E165,DimosNai,0)),"")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205">
        <f t="shared" si="15"/>
        <v>164</v>
      </c>
      <c r="L165" t="str">
        <f t="shared" si="16"/>
        <v>ΘΕΣΣΑΛΙΑΣ</v>
      </c>
      <c r="M165" t="str">
        <f t="shared" si="17"/>
        <v>ΘΕΣΣΑΛΙΑΣ - ΣΚΙΑΘΟΥ</v>
      </c>
      <c r="N165" s="203">
        <f t="shared" si="19"/>
        <v>14472</v>
      </c>
      <c r="O165" s="203" t="str">
        <f t="shared" si="20"/>
        <v>Σκιάθου</v>
      </c>
    </row>
    <row r="166" spans="1:15" x14ac:dyDescent="0.25">
      <c r="A166" s="205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31" t="s">
        <v>739</v>
      </c>
      <c r="G166" s="231">
        <v>14474</v>
      </c>
      <c r="H166" t="str">
        <f>IFERROR(INDEX(DimosNaiOxi,MATCH(ΤΚ!E166,DimosNai,0)),"")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205">
        <f t="shared" si="15"/>
        <v>165</v>
      </c>
      <c r="L166" t="str">
        <f t="shared" si="16"/>
        <v>ΘΕΣΣΑΛΙΑΣ</v>
      </c>
      <c r="M166" t="str">
        <f t="shared" si="17"/>
        <v>ΘΕΣΣΑΛΙΑΣ - ΣΚΟΠΕΛΟΥ</v>
      </c>
      <c r="N166" s="203">
        <f t="shared" si="19"/>
        <v>14474</v>
      </c>
      <c r="O166" s="203" t="str">
        <f t="shared" si="20"/>
        <v>Σκοπέλου</v>
      </c>
    </row>
    <row r="167" spans="1:15" x14ac:dyDescent="0.25">
      <c r="A167" s="205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31" t="s">
        <v>740</v>
      </c>
      <c r="G167" s="231">
        <v>14480</v>
      </c>
      <c r="H167" t="str">
        <f>IFERROR(INDEX(DimosNaiOxi,MATCH(ΤΚ!E167,DimosNai,0)),"")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205">
        <f t="shared" si="15"/>
        <v>166</v>
      </c>
      <c r="L167" t="str">
        <f t="shared" si="16"/>
        <v>ΘΕΣΣΑΛΙΑΣ</v>
      </c>
      <c r="M167" t="str">
        <f t="shared" si="17"/>
        <v>ΘΕΣΣΑΛΙΑΣ - ΣΟΦΑΔΩΝ</v>
      </c>
      <c r="N167" s="203">
        <f t="shared" si="19"/>
        <v>14480</v>
      </c>
      <c r="O167" s="203" t="str">
        <f t="shared" si="20"/>
        <v>Σοφάδων</v>
      </c>
    </row>
    <row r="168" spans="1:15" x14ac:dyDescent="0.25">
      <c r="A168" s="205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31" t="s">
        <v>741</v>
      </c>
      <c r="G168" s="231">
        <v>14498</v>
      </c>
      <c r="H168" t="str">
        <f>IFERROR(INDEX(DimosNaiOxi,MATCH(ΤΚ!E168,DimosNai,0)),"")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205">
        <f t="shared" si="15"/>
        <v>167</v>
      </c>
      <c r="L168" t="str">
        <f t="shared" si="16"/>
        <v>ΘΕΣΣΑΛΙΑΣ</v>
      </c>
      <c r="M168" t="str">
        <f t="shared" si="17"/>
        <v>ΘΕΣΣΑΛΙΑΣ - ΤΕΜΠΩΝ</v>
      </c>
      <c r="N168" s="203">
        <f t="shared" si="19"/>
        <v>14498</v>
      </c>
      <c r="O168" s="203" t="str">
        <f t="shared" si="20"/>
        <v>Τεμπών</v>
      </c>
    </row>
    <row r="169" spans="1:15" x14ac:dyDescent="0.25">
      <c r="A169" s="205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31" t="s">
        <v>742</v>
      </c>
      <c r="G169" s="231">
        <v>14504</v>
      </c>
      <c r="H169" t="str">
        <f>IFERROR(INDEX(DimosNaiOxi,MATCH(ΤΚ!E169,DimosNai,0)),"")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205">
        <f t="shared" si="15"/>
        <v>168</v>
      </c>
      <c r="L169" t="str">
        <f t="shared" si="16"/>
        <v>ΘΕΣΣΑΛΙΑΣ</v>
      </c>
      <c r="M169" t="str">
        <f t="shared" si="17"/>
        <v>ΘΕΣΣΑΛΙΑΣ - ΤΡΙΚΚΑΙΩΝ</v>
      </c>
      <c r="N169" s="203">
        <f t="shared" si="19"/>
        <v>14504</v>
      </c>
      <c r="O169" s="203" t="str">
        <f t="shared" si="20"/>
        <v>Τρικκαίων</v>
      </c>
    </row>
    <row r="170" spans="1:15" x14ac:dyDescent="0.25">
      <c r="A170" s="205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31" t="s">
        <v>743</v>
      </c>
      <c r="G170" s="231">
        <v>14510</v>
      </c>
      <c r="H170" t="str">
        <f>IFERROR(INDEX(DimosNaiOxi,MATCH(ΤΚ!E170,DimosNai,0)),"")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205">
        <f t="shared" si="15"/>
        <v>169</v>
      </c>
      <c r="L170" t="str">
        <f t="shared" si="16"/>
        <v>ΘΕΣΣΑΛΙΑΣ</v>
      </c>
      <c r="M170" t="str">
        <f t="shared" si="17"/>
        <v>ΘΕΣΣΑΛΙΑΣ - ΤΥΡΝΑΒΟΥ</v>
      </c>
      <c r="N170" s="203">
        <f t="shared" si="19"/>
        <v>14510</v>
      </c>
      <c r="O170" s="203" t="str">
        <f t="shared" si="20"/>
        <v>Τυρνάβου</v>
      </c>
    </row>
    <row r="171" spans="1:15" x14ac:dyDescent="0.25">
      <c r="A171" s="205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31" t="s">
        <v>744</v>
      </c>
      <c r="G171" s="231">
        <v>14514</v>
      </c>
      <c r="H171" t="str">
        <f>IFERROR(INDEX(DimosNaiOxi,MATCH(ΤΚ!E171,DimosNai,0)),"")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205">
        <f t="shared" si="15"/>
        <v>170</v>
      </c>
      <c r="L171" t="str">
        <f t="shared" si="16"/>
        <v>ΘΕΣΣΑΛΙΑΣ</v>
      </c>
      <c r="M171" t="str">
        <f t="shared" si="17"/>
        <v>ΘΕΣΣΑΛΙΑΣ - ΦΑΡΚΑΔΟΝΑΣ</v>
      </c>
      <c r="N171" s="203">
        <f t="shared" si="19"/>
        <v>14514</v>
      </c>
      <c r="O171" s="203" t="str">
        <f t="shared" si="20"/>
        <v>Φαρκαδόνας</v>
      </c>
    </row>
    <row r="172" spans="1:15" x14ac:dyDescent="0.25">
      <c r="A172" s="205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31" t="s">
        <v>745</v>
      </c>
      <c r="G172" s="231">
        <v>14516</v>
      </c>
      <c r="H172" t="str">
        <f>IFERROR(INDEX(DimosNaiOxi,MATCH(ΤΚ!E172,DimosNai,0)),"")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205">
        <f t="shared" si="15"/>
        <v>171</v>
      </c>
      <c r="L172" t="str">
        <f t="shared" si="16"/>
        <v>ΘΕΣΣΑΛΙΑΣ</v>
      </c>
      <c r="M172" t="str">
        <f t="shared" si="17"/>
        <v>ΘΕΣΣΑΛΙΑΣ - ΦΑΡΣΑΛΩΝ</v>
      </c>
      <c r="N172" s="203">
        <f t="shared" si="19"/>
        <v>14516</v>
      </c>
      <c r="O172" s="203" t="str">
        <f t="shared" si="20"/>
        <v>Φαρσάλων</v>
      </c>
    </row>
    <row r="173" spans="1:15" x14ac:dyDescent="0.25">
      <c r="A173" s="205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31" t="s">
        <v>746</v>
      </c>
      <c r="G173" s="231">
        <v>14112</v>
      </c>
      <c r="H173" t="str">
        <f>IFERROR(INDEX(DimosNaiOxi,MATCH(ΤΚ!E173,DimosNai,0)),"")</f>
        <v/>
      </c>
      <c r="I173" t="str">
        <f>LOOKUP(B173,ΠΕΡΙΦΕΡΕΙΑ!$A$2:$A$14,ΠΕΡΙΦΕΡΕΙΑ!$B$2:$B$14)</f>
        <v>Ολική</v>
      </c>
      <c r="J173">
        <f t="shared" si="18"/>
        <v>172</v>
      </c>
      <c r="K173" s="205">
        <f t="shared" si="15"/>
        <v>172</v>
      </c>
      <c r="L173" t="str">
        <f t="shared" si="16"/>
        <v>ΙΟΝΙΩΝ ΝΗΣΩΝ</v>
      </c>
      <c r="M173" t="str">
        <f t="shared" si="17"/>
        <v>ΙΟΝΙΩΝ ΝΗΣΩΝ - ΖΑΚΥΝΘΟΥ</v>
      </c>
      <c r="N173" s="203">
        <f t="shared" si="19"/>
        <v>14112</v>
      </c>
      <c r="O173" s="203" t="str">
        <f t="shared" si="20"/>
        <v>Ζακύνθου</v>
      </c>
    </row>
    <row r="174" spans="1:15" x14ac:dyDescent="0.25">
      <c r="A174" s="205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31" t="s">
        <v>747</v>
      </c>
      <c r="G174" s="231">
        <v>14150</v>
      </c>
      <c r="H174" t="str">
        <f>IFERROR(INDEX(DimosNaiOxi,MATCH(ΤΚ!E174,DimosNai,0)),"")</f>
        <v/>
      </c>
      <c r="I174" t="str">
        <f>LOOKUP(B174,ΠΕΡΙΦΕΡΕΙΑ!$A$2:$A$14,ΠΕΡΙΦΕΡΕΙΑ!$B$2:$B$14)</f>
        <v>Ολική</v>
      </c>
      <c r="J174">
        <f t="shared" si="18"/>
        <v>173</v>
      </c>
      <c r="K174" s="205">
        <f t="shared" si="15"/>
        <v>173</v>
      </c>
      <c r="L174" t="str">
        <f t="shared" si="16"/>
        <v>ΙΟΝΙΩΝ ΝΗΣΩΝ</v>
      </c>
      <c r="M174" t="str">
        <f t="shared" si="17"/>
        <v>ΙΟΝΙΩΝ ΝΗΣΩΝ - ΙΘΑΚΗΣ</v>
      </c>
      <c r="N174" s="203">
        <f t="shared" si="19"/>
        <v>14150</v>
      </c>
      <c r="O174" s="203" t="str">
        <f t="shared" si="20"/>
        <v>Ιθάκης</v>
      </c>
    </row>
    <row r="175" spans="1:15" x14ac:dyDescent="0.25">
      <c r="A175" s="205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31" t="s">
        <v>748</v>
      </c>
      <c r="G175" s="231">
        <v>14166</v>
      </c>
      <c r="H175" t="str">
        <f>IFERROR(INDEX(DimosNaiOxi,MATCH(ΤΚ!E175,DimosNai,0)),"")</f>
        <v/>
      </c>
      <c r="I175" t="str">
        <f>LOOKUP(B175,ΠΕΡΙΦΕΡΕΙΑ!$A$2:$A$14,ΠΕΡΙΦΕΡΕΙΑ!$B$2:$B$14)</f>
        <v>Ολική</v>
      </c>
      <c r="J175">
        <f t="shared" si="18"/>
        <v>174</v>
      </c>
      <c r="K175" s="205">
        <f t="shared" si="15"/>
        <v>174</v>
      </c>
      <c r="L175" t="str">
        <f t="shared" si="16"/>
        <v>ΙΟΝΙΩΝ ΝΗΣΩΝ</v>
      </c>
      <c r="M175" t="str">
        <f t="shared" si="17"/>
        <v>ΙΟΝΙΩΝ ΝΗΣΩΝ - ΚΕΡΚΥΡΑΣ</v>
      </c>
      <c r="N175" s="203">
        <f t="shared" si="19"/>
        <v>14166</v>
      </c>
      <c r="O175" s="203" t="str">
        <f t="shared" si="20"/>
        <v>Κέρκυρας</v>
      </c>
    </row>
    <row r="176" spans="1:15" x14ac:dyDescent="0.25">
      <c r="A176" s="205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31" t="s">
        <v>749</v>
      </c>
      <c r="G176" s="231">
        <v>14210</v>
      </c>
      <c r="H176" t="str">
        <f>IFERROR(INDEX(DimosNaiOxi,MATCH(ΤΚ!E176,DimosNai,0)),"")</f>
        <v/>
      </c>
      <c r="I176" t="str">
        <f>LOOKUP(B176,ΠΕΡΙΦΕΡΕΙΑ!$A$2:$A$14,ΠΕΡΙΦΕΡΕΙΑ!$B$2:$B$14)</f>
        <v>Ολική</v>
      </c>
      <c r="J176">
        <f t="shared" si="18"/>
        <v>175</v>
      </c>
      <c r="K176" s="205">
        <f t="shared" si="15"/>
        <v>175</v>
      </c>
      <c r="L176" t="str">
        <f t="shared" si="16"/>
        <v>ΙΟΝΙΩΝ ΝΗΣΩΝ</v>
      </c>
      <c r="M176" t="str">
        <f t="shared" si="17"/>
        <v>ΙΟΝΙΩΝ ΝΗΣΩΝ - ΚΕΦΑΛΟΝΙΑΣ</v>
      </c>
      <c r="N176" s="203">
        <f t="shared" si="19"/>
        <v>14210</v>
      </c>
      <c r="O176" s="203" t="str">
        <f t="shared" si="20"/>
        <v>Κεφαλονιάς</v>
      </c>
    </row>
    <row r="177" spans="1:15" x14ac:dyDescent="0.25">
      <c r="A177" s="205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31" t="s">
        <v>750</v>
      </c>
      <c r="G177" s="231">
        <v>14258</v>
      </c>
      <c r="H177" t="str">
        <f>IFERROR(INDEX(DimosNaiOxi,MATCH(ΤΚ!E177,DimosNai,0)),"")</f>
        <v/>
      </c>
      <c r="I177" t="str">
        <f>LOOKUP(B177,ΠΕΡΙΦΕΡΕΙΑ!$A$2:$A$14,ΠΕΡΙΦΕΡΕΙΑ!$B$2:$B$14)</f>
        <v>Ολική</v>
      </c>
      <c r="J177">
        <f t="shared" si="18"/>
        <v>176</v>
      </c>
      <c r="K177" s="205">
        <f t="shared" si="15"/>
        <v>176</v>
      </c>
      <c r="L177" t="str">
        <f t="shared" si="16"/>
        <v>ΙΟΝΙΩΝ ΝΗΣΩΝ</v>
      </c>
      <c r="M177" t="str">
        <f t="shared" si="17"/>
        <v>ΙΟΝΙΩΝ ΝΗΣΩΝ - ΛΕΥΚΑΔΑΣ</v>
      </c>
      <c r="N177" s="203">
        <f t="shared" si="19"/>
        <v>14258</v>
      </c>
      <c r="O177" s="203" t="str">
        <f t="shared" si="20"/>
        <v>Λευκάδας</v>
      </c>
    </row>
    <row r="178" spans="1:15" x14ac:dyDescent="0.25">
      <c r="A178" s="205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31" t="s">
        <v>751</v>
      </c>
      <c r="G178" s="231">
        <v>14290</v>
      </c>
      <c r="H178" t="str">
        <f>IFERROR(INDEX(DimosNaiOxi,MATCH(ΤΚ!E178,DimosNai,0)),"")</f>
        <v/>
      </c>
      <c r="I178" t="str">
        <f>LOOKUP(B178,ΠΕΡΙΦΕΡΕΙΑ!$A$2:$A$14,ΠΕΡΙΦΕΡΕΙΑ!$B$2:$B$14)</f>
        <v>Ολική</v>
      </c>
      <c r="J178">
        <f t="shared" si="18"/>
        <v>177</v>
      </c>
      <c r="K178" s="205">
        <f t="shared" si="15"/>
        <v>177</v>
      </c>
      <c r="L178" t="str">
        <f t="shared" si="16"/>
        <v>ΙΟΝΙΩΝ ΝΗΣΩΝ</v>
      </c>
      <c r="M178" t="str">
        <f t="shared" si="17"/>
        <v>ΙΟΝΙΩΝ ΝΗΣΩΝ - ΜΕΓΑΝΗΣΙΟΥ</v>
      </c>
      <c r="N178" s="203">
        <f t="shared" si="19"/>
        <v>14290</v>
      </c>
      <c r="O178" s="203" t="str">
        <f t="shared" si="20"/>
        <v>Μεγανησίου</v>
      </c>
    </row>
    <row r="179" spans="1:15" x14ac:dyDescent="0.25">
      <c r="A179" s="205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31" t="s">
        <v>752</v>
      </c>
      <c r="G179" s="231">
        <v>14396</v>
      </c>
      <c r="H179" t="str">
        <f>IFERROR(INDEX(DimosNaiOxi,MATCH(ΤΚ!E179,DimosNai,0)),"")</f>
        <v/>
      </c>
      <c r="I179" t="str">
        <f>LOOKUP(B179,ΠΕΡΙΦΕΡΕΙΑ!$A$2:$A$14,ΠΕΡΙΦΕΡΕΙΑ!$B$2:$B$14)</f>
        <v>Ολική</v>
      </c>
      <c r="J179">
        <f t="shared" si="18"/>
        <v>178</v>
      </c>
      <c r="K179" s="205">
        <f t="shared" si="15"/>
        <v>178</v>
      </c>
      <c r="L179" t="str">
        <f t="shared" si="16"/>
        <v>ΙΟΝΙΩΝ ΝΗΣΩΝ</v>
      </c>
      <c r="M179" t="str">
        <f t="shared" si="17"/>
        <v>ΙΟΝΙΩΝ ΝΗΣΩΝ - ΠΑΞΩΝ</v>
      </c>
      <c r="N179" s="203">
        <f t="shared" si="19"/>
        <v>14396</v>
      </c>
      <c r="O179" s="203" t="str">
        <f t="shared" si="20"/>
        <v>Παξών</v>
      </c>
    </row>
    <row r="180" spans="1:15" x14ac:dyDescent="0.25">
      <c r="A180" s="205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31" t="s">
        <v>753</v>
      </c>
      <c r="G180" s="231">
        <v>13954</v>
      </c>
      <c r="H180" t="str">
        <f>IFERROR(INDEX(DimosNaiOxi,MATCH(ΤΚ!E180,DimosNai,0)),"")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205">
        <f t="shared" si="15"/>
        <v>179</v>
      </c>
      <c r="L180" t="str">
        <f t="shared" si="16"/>
        <v>ΚΕΝΤΡΙΚΗΣ ΜΑΚΕΔΟΝΙΑΣ</v>
      </c>
      <c r="M180" t="str">
        <f t="shared" si="17"/>
        <v>ΚΕΝΤΡΙΚΗΣ ΜΑΚΕΔΟΝΙΑΣ - ΑΛΕΞΑΝΔΡΕΙΑΣ</v>
      </c>
      <c r="N180" s="203">
        <f t="shared" si="19"/>
        <v>13954</v>
      </c>
      <c r="O180" s="203" t="str">
        <f t="shared" si="20"/>
        <v>Αλεξάνδρειας</v>
      </c>
    </row>
    <row r="181" spans="1:15" x14ac:dyDescent="0.25">
      <c r="A181" s="205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31" t="s">
        <v>754</v>
      </c>
      <c r="G181" s="231">
        <v>13962</v>
      </c>
      <c r="H181" t="str">
        <f>IFERROR(INDEX(DimosNaiOxi,MATCH(ΤΚ!E181,DimosNai,0)),"")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205">
        <f t="shared" si="15"/>
        <v>180</v>
      </c>
      <c r="L181" t="str">
        <f t="shared" si="16"/>
        <v>ΚΕΝΤΡΙΚΗΣ ΜΑΚΕΔΟΝΙΑΣ</v>
      </c>
      <c r="M181" t="str">
        <f t="shared" si="17"/>
        <v>ΚΕΝΤΡΙΚΗΣ ΜΑΚΕΔΟΝΙΑΣ - ΑΛΜΩΠΙΑΣ</v>
      </c>
      <c r="N181" s="203">
        <f t="shared" si="19"/>
        <v>13962</v>
      </c>
      <c r="O181" s="203" t="str">
        <f t="shared" si="20"/>
        <v>Αλμωπίας</v>
      </c>
    </row>
    <row r="182" spans="1:15" x14ac:dyDescent="0.25">
      <c r="A182" s="205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31" t="s">
        <v>755</v>
      </c>
      <c r="G182" s="231">
        <v>13972</v>
      </c>
      <c r="H182" t="str">
        <f>IFERROR(INDEX(DimosNaiOxi,MATCH(ΤΚ!E182,DimosNai,0)),"")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205">
        <f t="shared" si="15"/>
        <v>181</v>
      </c>
      <c r="L182" t="str">
        <f t="shared" si="16"/>
        <v>ΚΕΝΤΡΙΚΗΣ ΜΑΚΕΔΟΝΙΑΣ</v>
      </c>
      <c r="M182" t="str">
        <f t="shared" si="17"/>
        <v>ΚΕΝΤΡΙΚΗΣ ΜΑΚΕΔΟΝΙΑΣ - ΑΜΠΕΛΟΚΗΠΩΝ – ΜΕΝΕΜΕΝΗΣ</v>
      </c>
      <c r="N182" s="203">
        <f t="shared" si="19"/>
        <v>13972</v>
      </c>
      <c r="O182" s="203" t="str">
        <f t="shared" si="20"/>
        <v>Αμπελοκήπων - Μενεμένης</v>
      </c>
    </row>
    <row r="183" spans="1:15" x14ac:dyDescent="0.25">
      <c r="A183" s="205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31" t="s">
        <v>756</v>
      </c>
      <c r="G183" s="231">
        <v>13978</v>
      </c>
      <c r="H183" t="str">
        <f>IFERROR(INDEX(DimosNaiOxi,MATCH(ΤΚ!E183,DimosNai,0)),"")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205">
        <f t="shared" si="15"/>
        <v>182</v>
      </c>
      <c r="L183" t="str">
        <f t="shared" si="16"/>
        <v>ΚΕΝΤΡΙΚΗΣ ΜΑΚΕΔΟΝΙΑΣ</v>
      </c>
      <c r="M183" t="str">
        <f t="shared" si="17"/>
        <v>ΚΕΝΤΡΙΚΗΣ ΜΑΚΕΔΟΝΙΑΣ - ΑΜΦΙΠΟΛΗΣ</v>
      </c>
      <c r="N183" s="203">
        <f t="shared" si="19"/>
        <v>13978</v>
      </c>
      <c r="O183" s="203" t="str">
        <f t="shared" si="20"/>
        <v>Αμφίπολης</v>
      </c>
    </row>
    <row r="184" spans="1:15" x14ac:dyDescent="0.25">
      <c r="A184" s="205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31" t="s">
        <v>757</v>
      </c>
      <c r="G184" s="231">
        <v>13998</v>
      </c>
      <c r="H184" t="str">
        <f>IFERROR(INDEX(DimosNaiOxi,MATCH(ΤΚ!E184,DimosNai,0)),"")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205">
        <f t="shared" si="15"/>
        <v>183</v>
      </c>
      <c r="L184" t="str">
        <f t="shared" si="16"/>
        <v>ΚΕΝΤΡΙΚΗΣ ΜΑΚΕΔΟΝΙΑΣ</v>
      </c>
      <c r="M184" t="str">
        <f t="shared" si="17"/>
        <v>ΚΕΝΤΡΙΚΗΣ ΜΑΚΕΔΟΝΙΑΣ - ΑΡΙΣΤΟΤΕΛΗ</v>
      </c>
      <c r="N184" s="203">
        <f t="shared" si="19"/>
        <v>13998</v>
      </c>
      <c r="O184" s="203" t="str">
        <f t="shared" si="20"/>
        <v>Αριστοτέλη</v>
      </c>
    </row>
    <row r="185" spans="1:15" x14ac:dyDescent="0.25">
      <c r="A185" s="205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31" t="s">
        <v>758</v>
      </c>
      <c r="G185" s="231">
        <v>14018</v>
      </c>
      <c r="H185" t="str">
        <f>IFERROR(INDEX(DimosNaiOxi,MATCH(ΤΚ!E185,DimosNai,0)),"")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205">
        <f t="shared" si="15"/>
        <v>184</v>
      </c>
      <c r="L185" t="str">
        <f t="shared" si="16"/>
        <v>ΚΕΝΤΡΙΚΗΣ ΜΑΚΕΔΟΝΙΑΣ</v>
      </c>
      <c r="M185" t="str">
        <f t="shared" si="17"/>
        <v>ΚΕΝΤΡΙΚΗΣ ΜΑΚΕΔΟΝΙΑΣ - ΒΕΡΟΙΑΣ</v>
      </c>
      <c r="N185" s="203">
        <f t="shared" si="19"/>
        <v>14018</v>
      </c>
      <c r="O185" s="203" t="str">
        <f t="shared" si="20"/>
        <v>Βέροιας</v>
      </c>
    </row>
    <row r="186" spans="1:15" x14ac:dyDescent="0.25">
      <c r="A186" s="205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31" t="s">
        <v>759</v>
      </c>
      <c r="G186" s="231">
        <v>14030</v>
      </c>
      <c r="H186" t="str">
        <f>IFERROR(INDEX(DimosNaiOxi,MATCH(ΤΚ!E186,DimosNai,0)),"")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205">
        <f t="shared" si="15"/>
        <v>185</v>
      </c>
      <c r="L186" t="str">
        <f t="shared" si="16"/>
        <v>ΚΕΝΤΡΙΚΗΣ ΜΑΚΕΔΟΝΙΑΣ</v>
      </c>
      <c r="M186" t="str">
        <f t="shared" si="17"/>
        <v>ΚΕΝΤΡΙΚΗΣ ΜΑΚΕΔΟΝΙΑΣ - ΒΙΣΑΛΤΙΑΣ</v>
      </c>
      <c r="N186" s="203">
        <f t="shared" si="19"/>
        <v>14030</v>
      </c>
      <c r="O186" s="203" t="str">
        <f t="shared" si="20"/>
        <v>Βισαλτίας</v>
      </c>
    </row>
    <row r="187" spans="1:15" x14ac:dyDescent="0.25">
      <c r="A187" s="205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31" t="s">
        <v>760</v>
      </c>
      <c r="G187" s="231">
        <v>14020</v>
      </c>
      <c r="H187" t="str">
        <f>IFERROR(INDEX(DimosNaiOxi,MATCH(ΤΚ!E187,DimosNai,0)),"")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205">
        <f t="shared" si="15"/>
        <v>186</v>
      </c>
      <c r="L187" t="str">
        <f t="shared" si="16"/>
        <v>ΚΕΝΤΡΙΚΗΣ ΜΑΚΕΔΟΝΙΑΣ</v>
      </c>
      <c r="M187" t="str">
        <f t="shared" si="17"/>
        <v>ΚΕΝΤΡΙΚΗΣ ΜΑΚΕΔΟΝΙΑΣ - ΒΟΛΒΗΣ</v>
      </c>
      <c r="N187" s="203">
        <f t="shared" si="19"/>
        <v>14020</v>
      </c>
      <c r="O187" s="203" t="str">
        <f t="shared" si="20"/>
        <v>Βόλβης</v>
      </c>
    </row>
    <row r="188" spans="1:15" x14ac:dyDescent="0.25">
      <c r="A188" s="205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31" t="s">
        <v>761</v>
      </c>
      <c r="G188" s="231">
        <v>14054</v>
      </c>
      <c r="H188" t="str">
        <f>IFERROR(INDEX(DimosNaiOxi,MATCH(ΤΚ!E188,DimosNai,0)),"")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205">
        <f t="shared" si="15"/>
        <v>187</v>
      </c>
      <c r="L188" t="str">
        <f t="shared" si="16"/>
        <v>ΚΕΝΤΡΙΚΗΣ ΜΑΚΕΔΟΝΙΑΣ</v>
      </c>
      <c r="M188" t="str">
        <f t="shared" si="17"/>
        <v>ΚΕΝΤΡΙΚΗΣ ΜΑΚΕΔΟΝΙΑΣ - ΔΕΛΤΑ</v>
      </c>
      <c r="N188" s="203">
        <f t="shared" si="19"/>
        <v>14054</v>
      </c>
      <c r="O188" s="203" t="str">
        <f t="shared" si="20"/>
        <v>Δέλτα</v>
      </c>
    </row>
    <row r="189" spans="1:15" x14ac:dyDescent="0.25">
      <c r="A189" s="205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31" t="s">
        <v>762</v>
      </c>
      <c r="G189" s="231">
        <v>14056</v>
      </c>
      <c r="H189" t="str">
        <f>IFERROR(INDEX(DimosNaiOxi,MATCH(ΤΚ!E189,DimosNai,0)),"")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205">
        <f t="shared" si="15"/>
        <v>188</v>
      </c>
      <c r="L189" t="str">
        <f t="shared" si="16"/>
        <v>ΚΕΝΤΡΙΚΗΣ ΜΑΚΕΔΟΝΙΑΣ</v>
      </c>
      <c r="M189" t="str">
        <f t="shared" si="17"/>
        <v>ΚΕΝΤΡΙΚΗΣ ΜΑΚΕΔΟΝΙΑΣ - ΔΙΟΥ – ΟΛΥΜΠΟΥ</v>
      </c>
      <c r="N189" s="203">
        <f t="shared" si="19"/>
        <v>14056</v>
      </c>
      <c r="O189" s="203" t="str">
        <f t="shared" si="20"/>
        <v>Δίου - Ολύμπου</v>
      </c>
    </row>
    <row r="190" spans="1:15" x14ac:dyDescent="0.25">
      <c r="A190" s="205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31" t="s">
        <v>763</v>
      </c>
      <c r="G190" s="231">
        <v>13912</v>
      </c>
      <c r="H190" t="str">
        <f>IFERROR(INDEX(DimosNaiOxi,MATCH(ΤΚ!E190,DimosNai,0)),"")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205">
        <f t="shared" si="15"/>
        <v>189</v>
      </c>
      <c r="L190" t="str">
        <f t="shared" si="16"/>
        <v>ΚΕΝΤΡΙΚΗΣ ΜΑΚΕΔΟΝΙΑΣ</v>
      </c>
      <c r="M190" t="str">
        <f t="shared" si="17"/>
        <v>ΚΕΝΤΡΙΚΗΣ ΜΑΚΕΔΟΝΙΑΣ - ΕΔΕΣΣΑΣ</v>
      </c>
      <c r="N190" s="203">
        <f t="shared" si="19"/>
        <v>13912</v>
      </c>
      <c r="O190" s="203" t="str">
        <f t="shared" si="20"/>
        <v>Έδεσσας</v>
      </c>
    </row>
    <row r="191" spans="1:15" x14ac:dyDescent="0.25">
      <c r="A191" s="205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31" t="s">
        <v>764</v>
      </c>
      <c r="G191" s="231">
        <v>14092</v>
      </c>
      <c r="H191" t="str">
        <f>IFERROR(INDEX(DimosNaiOxi,MATCH(ΤΚ!E191,DimosNai,0)),"")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205">
        <f t="shared" si="15"/>
        <v>190</v>
      </c>
      <c r="L191" t="str">
        <f t="shared" si="16"/>
        <v>ΚΕΝΤΡΙΚΗΣ ΜΑΚΕΔΟΝΙΑΣ</v>
      </c>
      <c r="M191" t="str">
        <f t="shared" si="17"/>
        <v>ΚΕΝΤΡΙΚΗΣ ΜΑΚΕΔΟΝΙΑΣ - ΕΜΜΑΝΟΥΗΛ ΠΑΠΠΑ</v>
      </c>
      <c r="N191" s="203">
        <f t="shared" si="19"/>
        <v>14092</v>
      </c>
      <c r="O191" s="203" t="str">
        <f t="shared" si="20"/>
        <v>Εμμανουήλ Παππά</v>
      </c>
    </row>
    <row r="192" spans="1:15" x14ac:dyDescent="0.25">
      <c r="A192" s="205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31" t="s">
        <v>765</v>
      </c>
      <c r="G192" s="231">
        <v>14124</v>
      </c>
      <c r="H192" t="str">
        <f>IFERROR(INDEX(DimosNaiOxi,MATCH(ΤΚ!E192,DimosNai,0)),"")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205">
        <f t="shared" si="15"/>
        <v>191</v>
      </c>
      <c r="L192" t="str">
        <f t="shared" si="16"/>
        <v>ΚΕΝΤΡΙΚΗΣ ΜΑΚΕΔΟΝΙΑΣ</v>
      </c>
      <c r="M192" t="str">
        <f t="shared" si="17"/>
        <v>ΚΕΝΤΡΙΚΗΣ ΜΑΚΕΔΟΝΙΑΣ - ΗΡΑΚΛΕΙΑΣ</v>
      </c>
      <c r="N192" s="203">
        <f t="shared" si="19"/>
        <v>14124</v>
      </c>
      <c r="O192" s="203" t="str">
        <f t="shared" si="20"/>
        <v>Ηρακλείας</v>
      </c>
    </row>
    <row r="193" spans="1:15" x14ac:dyDescent="0.25">
      <c r="A193" s="205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31" t="s">
        <v>766</v>
      </c>
      <c r="G193" s="231">
        <v>14136</v>
      </c>
      <c r="H193" t="str">
        <f>IFERROR(INDEX(DimosNaiOxi,MATCH(ΤΚ!E193,DimosNai,0)),"")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205">
        <f t="shared" si="15"/>
        <v>192</v>
      </c>
      <c r="L193" t="str">
        <f t="shared" si="16"/>
        <v>ΚΕΝΤΡΙΚΗΣ ΜΑΚΕΔΟΝΙΑΣ</v>
      </c>
      <c r="M193" t="str">
        <f t="shared" si="17"/>
        <v>ΚΕΝΤΡΙΚΗΣ ΜΑΚΕΔΟΝΙΑΣ - ΘΕΡΜΑΪΚΟΥ</v>
      </c>
      <c r="N193" s="203">
        <f t="shared" si="19"/>
        <v>14136</v>
      </c>
      <c r="O193" s="203" t="str">
        <f t="shared" si="20"/>
        <v>Θερμαϊκού</v>
      </c>
    </row>
    <row r="194" spans="1:15" x14ac:dyDescent="0.25">
      <c r="A194" s="205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31" t="s">
        <v>767</v>
      </c>
      <c r="G194" s="231">
        <v>14130</v>
      </c>
      <c r="H194" t="str">
        <f>IFERROR(INDEX(DimosNaiOxi,MATCH(ΤΚ!E194,DimosNai,0)),"")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205">
        <f t="shared" ref="K194:K257" si="22">SMALL(J:J,A194)</f>
        <v>193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ΘΕΡΜΗΣ</v>
      </c>
      <c r="N194" s="203">
        <f t="shared" si="19"/>
        <v>14130</v>
      </c>
      <c r="O194" s="203" t="str">
        <f t="shared" si="20"/>
        <v>Θέρμης</v>
      </c>
    </row>
    <row r="195" spans="1:15" x14ac:dyDescent="0.25">
      <c r="A195" s="205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31" t="s">
        <v>768</v>
      </c>
      <c r="G195" s="231">
        <v>14138</v>
      </c>
      <c r="H195" t="str">
        <f>IFERROR(INDEX(DimosNaiOxi,MATCH(ΤΚ!E195,DimosNai,0)),"")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205">
        <f t="shared" si="22"/>
        <v>194</v>
      </c>
      <c r="L195" t="str">
        <f t="shared" si="23"/>
        <v>ΚΕΝΤΡΙΚΗΣ ΜΑΚΕΔΟΝΙΑΣ</v>
      </c>
      <c r="M195" t="str">
        <f t="shared" si="24"/>
        <v>ΚΕΝΤΡΙΚΗΣ ΜΑΚΕΔΟΝΙΑΣ - ΘΕΣΣΑΛΟΝΙΚΗΣ</v>
      </c>
      <c r="N195" s="203">
        <f t="shared" ref="N195:N258" si="26">IF(ISNUMBER(K195),LOOKUP(K195,A:A,G:G),"")</f>
        <v>14138</v>
      </c>
      <c r="O195" s="203" t="str">
        <f t="shared" ref="O195:O258" si="27">IF(ISNUMBER(K195),LOOKUP(K195,A:A,F:F),"")</f>
        <v>Θεσσαλονίκης</v>
      </c>
    </row>
    <row r="196" spans="1:15" x14ac:dyDescent="0.25">
      <c r="A196" s="205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31" t="s">
        <v>769</v>
      </c>
      <c r="G196" s="231">
        <v>14182</v>
      </c>
      <c r="H196" t="str">
        <f>IFERROR(INDEX(DimosNaiOxi,MATCH(ΤΚ!E196,DimosNai,0)),"")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205">
        <f t="shared" si="22"/>
        <v>195</v>
      </c>
      <c r="L196" t="str">
        <f t="shared" si="23"/>
        <v>ΚΕΝΤΡΙΚΗΣ ΜΑΚΕΔΟΝΙΑΣ</v>
      </c>
      <c r="M196" t="str">
        <f t="shared" si="24"/>
        <v>ΚΕΝΤΡΙΚΗΣ ΜΑΚΕΔΟΝΙΑΣ - ΚΑΛΑΜΑΡΙΑΣ</v>
      </c>
      <c r="N196" s="203">
        <f t="shared" si="26"/>
        <v>14182</v>
      </c>
      <c r="O196" s="203" t="str">
        <f t="shared" si="27"/>
        <v>Καλαμαριάς</v>
      </c>
    </row>
    <row r="197" spans="1:15" x14ac:dyDescent="0.25">
      <c r="A197" s="205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31" t="s">
        <v>770</v>
      </c>
      <c r="G197" s="231">
        <v>14200</v>
      </c>
      <c r="H197" t="str">
        <f>IFERROR(INDEX(DimosNaiOxi,MATCH(ΤΚ!E197,DimosNai,0)),"")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205">
        <f t="shared" si="22"/>
        <v>196</v>
      </c>
      <c r="L197" t="str">
        <f t="shared" si="23"/>
        <v>ΚΕΝΤΡΙΚΗΣ ΜΑΚΕΔΟΝΙΑΣ</v>
      </c>
      <c r="M197" t="str">
        <f t="shared" si="24"/>
        <v>ΚΕΝΤΡΙΚΗΣ ΜΑΚΕΔΟΝΙΑΣ - ΚΑΣΣΑΝΔΡΑΣ</v>
      </c>
      <c r="N197" s="203">
        <f t="shared" si="26"/>
        <v>14200</v>
      </c>
      <c r="O197" s="203" t="str">
        <f t="shared" si="27"/>
        <v>Κασσάνδρας</v>
      </c>
    </row>
    <row r="198" spans="1:15" x14ac:dyDescent="0.25">
      <c r="A198" s="205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31" t="s">
        <v>771</v>
      </c>
      <c r="G198" s="231">
        <v>14204</v>
      </c>
      <c r="H198" t="str">
        <f>IFERROR(INDEX(DimosNaiOxi,MATCH(ΤΚ!E198,DimosNai,0)),"")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205">
        <f t="shared" si="22"/>
        <v>197</v>
      </c>
      <c r="L198" t="str">
        <f t="shared" si="23"/>
        <v>ΚΕΝΤΡΙΚΗΣ ΜΑΚΕΔΟΝΙΑΣ</v>
      </c>
      <c r="M198" t="str">
        <f t="shared" si="24"/>
        <v>ΚΕΝΤΡΙΚΗΣ ΜΑΚΕΔΟΝΙΑΣ - ΚΑΤΕΡΙΝΗΣ</v>
      </c>
      <c r="N198" s="203">
        <f t="shared" si="26"/>
        <v>14204</v>
      </c>
      <c r="O198" s="203" t="str">
        <f t="shared" si="27"/>
        <v>Κατερίνης</v>
      </c>
    </row>
    <row r="199" spans="1:15" x14ac:dyDescent="0.25">
      <c r="A199" s="205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31" t="s">
        <v>772</v>
      </c>
      <c r="G199" s="231">
        <v>14216</v>
      </c>
      <c r="H199" t="str">
        <f>IFERROR(INDEX(DimosNaiOxi,MATCH(ΤΚ!E199,DimosNai,0)),"")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205">
        <f t="shared" si="22"/>
        <v>198</v>
      </c>
      <c r="L199" t="str">
        <f t="shared" si="23"/>
        <v>ΚΕΝΤΡΙΚΗΣ ΜΑΚΕΔΟΝΙΑΣ</v>
      </c>
      <c r="M199" t="str">
        <f t="shared" si="24"/>
        <v>ΚΕΝΤΡΙΚΗΣ ΜΑΚΕΔΟΝΙΑΣ - ΚΙΛΚΙΣ</v>
      </c>
      <c r="N199" s="203">
        <f t="shared" si="26"/>
        <v>14216</v>
      </c>
      <c r="O199" s="203" t="str">
        <f t="shared" si="27"/>
        <v>Κιλκίς</v>
      </c>
    </row>
    <row r="200" spans="1:15" x14ac:dyDescent="0.25">
      <c r="A200" s="205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31" t="s">
        <v>773</v>
      </c>
      <c r="G200" s="231">
        <v>14226</v>
      </c>
      <c r="H200" t="str">
        <f>IFERROR(INDEX(DimosNaiOxi,MATCH(ΤΚ!E200,DimosNai,0)),"")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205">
        <f t="shared" si="22"/>
        <v>199</v>
      </c>
      <c r="L200" t="str">
        <f t="shared" si="23"/>
        <v>ΚΕΝΤΡΙΚΗΣ ΜΑΚΕΔΟΝΙΑΣ</v>
      </c>
      <c r="M200" t="str">
        <f t="shared" si="24"/>
        <v>ΚΕΝΤΡΙΚΗΣ ΜΑΚΕΔΟΝΙΑΣ - ΚΟΡΔΕΛΙΟΥ – ΕΥΟΣΜΟΥ</v>
      </c>
      <c r="N200" s="203">
        <f t="shared" si="26"/>
        <v>14226</v>
      </c>
      <c r="O200" s="203" t="str">
        <f t="shared" si="27"/>
        <v>Κορδελιού - Ευόσμου</v>
      </c>
    </row>
    <row r="201" spans="1:15" x14ac:dyDescent="0.25">
      <c r="A201" s="205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31" t="s">
        <v>774</v>
      </c>
      <c r="G201" s="231">
        <v>14246</v>
      </c>
      <c r="H201" t="str">
        <f>IFERROR(INDEX(DimosNaiOxi,MATCH(ΤΚ!E201,DimosNai,0)),"")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205">
        <f t="shared" si="22"/>
        <v>200</v>
      </c>
      <c r="L201" t="str">
        <f t="shared" si="23"/>
        <v>ΚΕΝΤΡΙΚΗΣ ΜΑΚΕΔΟΝΙΑΣ</v>
      </c>
      <c r="M201" t="str">
        <f t="shared" si="24"/>
        <v>ΚΕΝΤΡΙΚΗΣ ΜΑΚΕΔΟΝΙΑΣ - ΛΑΓΚΑΔΑ</v>
      </c>
      <c r="N201" s="203">
        <f t="shared" si="26"/>
        <v>14246</v>
      </c>
      <c r="O201" s="203" t="str">
        <f t="shared" si="27"/>
        <v>Λαγκαδά</v>
      </c>
    </row>
    <row r="202" spans="1:15" x14ac:dyDescent="0.25">
      <c r="A202" s="205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31" t="s">
        <v>775</v>
      </c>
      <c r="G202" s="231">
        <v>14314</v>
      </c>
      <c r="H202" t="str">
        <f>IFERROR(INDEX(DimosNaiOxi,MATCH(ΤΚ!E202,DimosNai,0)),"")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205">
        <f t="shared" si="22"/>
        <v>201</v>
      </c>
      <c r="L202" t="str">
        <f t="shared" si="23"/>
        <v>ΚΕΝΤΡΙΚΗΣ ΜΑΚΕΔΟΝΙΑΣ</v>
      </c>
      <c r="M202" t="str">
        <f t="shared" si="24"/>
        <v>ΚΕΝΤΡΙΚΗΣ ΜΑΚΕΔΟΝΙΑΣ - ΝΑΟΥΣΑΣ</v>
      </c>
      <c r="N202" s="203">
        <f t="shared" si="26"/>
        <v>14314</v>
      </c>
      <c r="O202" s="203" t="str">
        <f t="shared" si="27"/>
        <v>Νάουσας</v>
      </c>
    </row>
    <row r="203" spans="1:15" x14ac:dyDescent="0.25">
      <c r="A203" s="205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31" t="s">
        <v>776</v>
      </c>
      <c r="G203" s="231">
        <v>14316</v>
      </c>
      <c r="H203" t="str">
        <f>IFERROR(INDEX(DimosNaiOxi,MATCH(ΤΚ!E203,DimosNai,0)),"")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205">
        <f t="shared" si="22"/>
        <v>202</v>
      </c>
      <c r="L203" t="str">
        <f t="shared" si="23"/>
        <v>ΚΕΝΤΡΙΚΗΣ ΜΑΚΕΔΟΝΙΑΣ</v>
      </c>
      <c r="M203" t="str">
        <f t="shared" si="24"/>
        <v>ΚΕΝΤΡΙΚΗΣ ΜΑΚΕΔΟΝΙΑΣ - ΝΕΑΠΟΛΗΣ – ΣΥΚΕΩΝ</v>
      </c>
      <c r="N203" s="203">
        <f t="shared" si="26"/>
        <v>14316</v>
      </c>
      <c r="O203" s="203" t="str">
        <f t="shared" si="27"/>
        <v>Νέαπολης - Συκεών</v>
      </c>
    </row>
    <row r="204" spans="1:15" x14ac:dyDescent="0.25">
      <c r="A204" s="205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31" t="s">
        <v>777</v>
      </c>
      <c r="G204" s="231">
        <v>14318</v>
      </c>
      <c r="H204" t="str">
        <f>IFERROR(INDEX(DimosNaiOxi,MATCH(ΤΚ!E204,DimosNai,0)),"")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205">
        <f t="shared" si="22"/>
        <v>203</v>
      </c>
      <c r="L204" t="str">
        <f t="shared" si="23"/>
        <v>ΚΕΝΤΡΙΚΗΣ ΜΑΚΕΔΟΝΙΑΣ</v>
      </c>
      <c r="M204" t="str">
        <f t="shared" si="24"/>
        <v>ΚΕΝΤΡΙΚΗΣ ΜΑΚΕΔΟΝΙΑΣ - ΝΕΑΣ ΖΙΧΝΗΣ</v>
      </c>
      <c r="N204" s="203">
        <f t="shared" si="26"/>
        <v>14318</v>
      </c>
      <c r="O204" s="203" t="str">
        <f t="shared" si="27"/>
        <v>Νέας Ζίχνης</v>
      </c>
    </row>
    <row r="205" spans="1:15" x14ac:dyDescent="0.25">
      <c r="A205" s="205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31" t="s">
        <v>778</v>
      </c>
      <c r="G205" s="231">
        <v>14322</v>
      </c>
      <c r="H205" t="str">
        <f>IFERROR(INDEX(DimosNaiOxi,MATCH(ΤΚ!E205,DimosNai,0)),"")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205">
        <f t="shared" si="22"/>
        <v>204</v>
      </c>
      <c r="L205" t="str">
        <f t="shared" si="23"/>
        <v>ΚΕΝΤΡΙΚΗΣ ΜΑΚΕΔΟΝΙΑΣ</v>
      </c>
      <c r="M205" t="str">
        <f t="shared" si="24"/>
        <v>ΚΕΝΤΡΙΚΗΣ ΜΑΚΕΔΟΝΙΑΣ - ΝΕΑΣ ΠΡΟΠΟΝΤΙΔΑΣ</v>
      </c>
      <c r="N205" s="203">
        <f t="shared" si="26"/>
        <v>14322</v>
      </c>
      <c r="O205" s="203" t="str">
        <f t="shared" si="27"/>
        <v>Νέας Προποντίδας</v>
      </c>
    </row>
    <row r="206" spans="1:15" x14ac:dyDescent="0.25">
      <c r="A206" s="205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31" t="s">
        <v>779</v>
      </c>
      <c r="G206" s="231">
        <v>14388</v>
      </c>
      <c r="H206" t="str">
        <f>IFERROR(INDEX(DimosNaiOxi,MATCH(ΤΚ!E206,DimosNai,0)),"")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205">
        <f t="shared" si="22"/>
        <v>205</v>
      </c>
      <c r="L206" t="str">
        <f t="shared" si="23"/>
        <v>ΚΕΝΤΡΙΚΗΣ ΜΑΚΕΔΟΝΙΑΣ</v>
      </c>
      <c r="M206" t="str">
        <f t="shared" si="24"/>
        <v>ΚΕΝΤΡΙΚΗΣ ΜΑΚΕΔΟΝΙΑΣ - ΠΑΙΟΝΙΑΣ</v>
      </c>
      <c r="N206" s="203">
        <f t="shared" si="26"/>
        <v>14388</v>
      </c>
      <c r="O206" s="203" t="str">
        <f t="shared" si="27"/>
        <v>Παιονίας</v>
      </c>
    </row>
    <row r="207" spans="1:15" x14ac:dyDescent="0.25">
      <c r="A207" s="205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31" t="s">
        <v>780</v>
      </c>
      <c r="G207" s="231">
        <v>14382</v>
      </c>
      <c r="H207" t="str">
        <f>IFERROR(INDEX(DimosNaiOxi,MATCH(ΤΚ!E207,DimosNai,0)),"")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205">
        <f t="shared" si="22"/>
        <v>206</v>
      </c>
      <c r="L207" t="str">
        <f t="shared" si="23"/>
        <v>ΚΕΝΤΡΙΚΗΣ ΜΑΚΕΔΟΝΙΑΣ</v>
      </c>
      <c r="M207" t="str">
        <f t="shared" si="24"/>
        <v>ΚΕΝΤΡΙΚΗΣ ΜΑΚΕΔΟΝΙΑΣ - ΠΑΥΛΟΥ ΜΕΛΑ</v>
      </c>
      <c r="N207" s="203">
        <f t="shared" si="26"/>
        <v>14382</v>
      </c>
      <c r="O207" s="203" t="str">
        <f t="shared" si="27"/>
        <v>Παύλου Μελά</v>
      </c>
    </row>
    <row r="208" spans="1:15" x14ac:dyDescent="0.25">
      <c r="A208" s="205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31" t="s">
        <v>781</v>
      </c>
      <c r="G208" s="231">
        <v>14370</v>
      </c>
      <c r="H208" t="str">
        <f>IFERROR(INDEX(DimosNaiOxi,MATCH(ΤΚ!E208,DimosNai,0)),"")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205">
        <f t="shared" si="22"/>
        <v>207</v>
      </c>
      <c r="L208" t="str">
        <f t="shared" si="23"/>
        <v>ΚΕΝΤΡΙΚΗΣ ΜΑΚΕΔΟΝΙΑΣ</v>
      </c>
      <c r="M208" t="str">
        <f t="shared" si="24"/>
        <v>ΚΕΝΤΡΙΚΗΣ ΜΑΚΕΔΟΝΙΑΣ - ΠΕΛΛΑΣ</v>
      </c>
      <c r="N208" s="203">
        <f t="shared" si="26"/>
        <v>14370</v>
      </c>
      <c r="O208" s="203" t="str">
        <f t="shared" si="27"/>
        <v>Πέλλας</v>
      </c>
    </row>
    <row r="209" spans="1:15" x14ac:dyDescent="0.25">
      <c r="A209" s="205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31" t="s">
        <v>782</v>
      </c>
      <c r="G209" s="231">
        <v>14418</v>
      </c>
      <c r="H209" t="str">
        <f>IFERROR(INDEX(DimosNaiOxi,MATCH(ΤΚ!E209,DimosNai,0)),"")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205">
        <f t="shared" si="22"/>
        <v>208</v>
      </c>
      <c r="L209" t="str">
        <f t="shared" si="23"/>
        <v>ΚΕΝΤΡΙΚΗΣ ΜΑΚΕΔΟΝΙΑΣ</v>
      </c>
      <c r="M209" t="str">
        <f t="shared" si="24"/>
        <v>ΚΕΝΤΡΙΚΗΣ ΜΑΚΕΔΟΝΙΑΣ - ΠΟΛΥΓΥΡΟΥ</v>
      </c>
      <c r="N209" s="203">
        <f t="shared" si="26"/>
        <v>14418</v>
      </c>
      <c r="O209" s="203" t="str">
        <f t="shared" si="27"/>
        <v>Πολυγύρου</v>
      </c>
    </row>
    <row r="210" spans="1:15" x14ac:dyDescent="0.25">
      <c r="A210" s="205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31" t="s">
        <v>783</v>
      </c>
      <c r="G210" s="231">
        <v>14374</v>
      </c>
      <c r="H210" t="str">
        <f>IFERROR(INDEX(DimosNaiOxi,MATCH(ΤΚ!E210,DimosNai,0)),"")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205">
        <f t="shared" si="22"/>
        <v>209</v>
      </c>
      <c r="L210" t="str">
        <f t="shared" si="23"/>
        <v>ΚΕΝΤΡΙΚΗΣ ΜΑΚΕΔΟΝΙΑΣ</v>
      </c>
      <c r="M210" t="str">
        <f t="shared" si="24"/>
        <v>ΚΕΝΤΡΙΚΗΣ ΜΑΚΕΔΟΝΙΑΣ - ΠΥΔΝΑΣ – ΚΟΛΙΝΔΡΟΥ</v>
      </c>
      <c r="N210" s="203">
        <f t="shared" si="26"/>
        <v>14374</v>
      </c>
      <c r="O210" s="203" t="str">
        <f t="shared" si="27"/>
        <v>Πύδνας - Κολινδρού</v>
      </c>
    </row>
    <row r="211" spans="1:15" x14ac:dyDescent="0.25">
      <c r="A211" s="205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31" t="s">
        <v>784</v>
      </c>
      <c r="G211" s="231">
        <v>14426</v>
      </c>
      <c r="H211" t="str">
        <f>IFERROR(INDEX(DimosNaiOxi,MATCH(ΤΚ!E211,DimosNai,0)),"")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205">
        <f t="shared" si="22"/>
        <v>210</v>
      </c>
      <c r="L211" t="str">
        <f t="shared" si="23"/>
        <v>ΚΕΝΤΡΙΚΗΣ ΜΑΚΕΔΟΝΙΑΣ</v>
      </c>
      <c r="M211" t="str">
        <f t="shared" si="24"/>
        <v>ΚΕΝΤΡΙΚΗΣ ΜΑΚΕΔΟΝΙΑΣ - ΠΥΛΑΙΑΣ – ΧΟΡΤΙΑΤΗ</v>
      </c>
      <c r="N211" s="203">
        <f t="shared" si="26"/>
        <v>14426</v>
      </c>
      <c r="O211" s="203" t="str">
        <f t="shared" si="27"/>
        <v>Πυλαίας - Χορτιάτη</v>
      </c>
    </row>
    <row r="212" spans="1:15" x14ac:dyDescent="0.25">
      <c r="A212" s="205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31" t="s">
        <v>785</v>
      </c>
      <c r="G212" s="231">
        <v>14456</v>
      </c>
      <c r="H212" t="str">
        <f>IFERROR(INDEX(DimosNaiOxi,MATCH(ΤΚ!E212,DimosNai,0)),"")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205">
        <f t="shared" si="22"/>
        <v>211</v>
      </c>
      <c r="L212" t="str">
        <f t="shared" si="23"/>
        <v>ΚΕΝΤΡΙΚΗΣ ΜΑΚΕΔΟΝΙΑΣ</v>
      </c>
      <c r="M212" t="str">
        <f t="shared" si="24"/>
        <v>ΚΕΝΤΡΙΚΗΣ ΜΑΚΕΔΟΝΙΑΣ - ΣΕΡΡΩΝ</v>
      </c>
      <c r="N212" s="203">
        <f t="shared" si="26"/>
        <v>14456</v>
      </c>
      <c r="O212" s="203" t="str">
        <f t="shared" si="27"/>
        <v>Σερρών</v>
      </c>
    </row>
    <row r="213" spans="1:15" x14ac:dyDescent="0.25">
      <c r="A213" s="205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31" t="s">
        <v>786</v>
      </c>
      <c r="G213" s="231">
        <v>14460</v>
      </c>
      <c r="H213" t="str">
        <f>IFERROR(INDEX(DimosNaiOxi,MATCH(ΤΚ!E213,DimosNai,0)),"")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205">
        <f t="shared" si="22"/>
        <v>212</v>
      </c>
      <c r="L213" t="str">
        <f t="shared" si="23"/>
        <v>ΚΕΝΤΡΙΚΗΣ ΜΑΚΕΔΟΝΙΑΣ</v>
      </c>
      <c r="M213" t="str">
        <f t="shared" si="24"/>
        <v>ΚΕΝΤΡΙΚΗΣ ΜΑΚΕΔΟΝΙΑΣ - ΣΙΘΩΝΙΑΣ</v>
      </c>
      <c r="N213" s="203">
        <f t="shared" si="26"/>
        <v>14460</v>
      </c>
      <c r="O213" s="203" t="str">
        <f t="shared" si="27"/>
        <v>Σιθωνίας</v>
      </c>
    </row>
    <row r="214" spans="1:15" x14ac:dyDescent="0.25">
      <c r="A214" s="205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31" t="s">
        <v>787</v>
      </c>
      <c r="G214" s="231">
        <v>14466</v>
      </c>
      <c r="H214" t="str">
        <f>IFERROR(INDEX(DimosNaiOxi,MATCH(ΤΚ!E214,DimosNai,0)),"")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205">
        <f t="shared" si="22"/>
        <v>213</v>
      </c>
      <c r="L214" t="str">
        <f t="shared" si="23"/>
        <v>ΚΕΝΤΡΙΚΗΣ ΜΑΚΕΔΟΝΙΑΣ</v>
      </c>
      <c r="M214" t="str">
        <f t="shared" si="24"/>
        <v>ΚΕΝΤΡΙΚΗΣ ΜΑΚΕΔΟΝΙΑΣ - ΣΙΝΤΙΚΗΣ</v>
      </c>
      <c r="N214" s="203">
        <f t="shared" si="26"/>
        <v>14466</v>
      </c>
      <c r="O214" s="203" t="str">
        <f t="shared" si="27"/>
        <v>Σιντικής</v>
      </c>
    </row>
    <row r="215" spans="1:15" x14ac:dyDescent="0.25">
      <c r="A215" s="205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31" t="s">
        <v>788</v>
      </c>
      <c r="G215" s="231">
        <v>14468</v>
      </c>
      <c r="H215" t="str">
        <f>IFERROR(INDEX(DimosNaiOxi,MATCH(ΤΚ!E215,DimosNai,0)),"")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205">
        <f t="shared" si="22"/>
        <v>214</v>
      </c>
      <c r="L215" t="str">
        <f t="shared" si="23"/>
        <v>ΚΕΝΤΡΙΚΗΣ ΜΑΚΕΔΟΝΙΑΣ</v>
      </c>
      <c r="M215" t="str">
        <f t="shared" si="24"/>
        <v>ΚΕΝΤΡΙΚΗΣ ΜΑΚΕΔΟΝΙΑΣ - ΣΚΥΔΡΑΣ</v>
      </c>
      <c r="N215" s="203">
        <f t="shared" si="26"/>
        <v>14468</v>
      </c>
      <c r="O215" s="203" t="str">
        <f t="shared" si="27"/>
        <v>Σκύδρας</v>
      </c>
    </row>
    <row r="216" spans="1:15" x14ac:dyDescent="0.25">
      <c r="A216" s="205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31" t="s">
        <v>789</v>
      </c>
      <c r="G216" s="231">
        <v>14538</v>
      </c>
      <c r="H216" t="str">
        <f>IFERROR(INDEX(DimosNaiOxi,MATCH(ΤΚ!E216,DimosNai,0)),"")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205">
        <f t="shared" si="22"/>
        <v>215</v>
      </c>
      <c r="L216" t="str">
        <f t="shared" si="23"/>
        <v>ΚΕΝΤΡΙΚΗΣ ΜΑΚΕΔΟΝΙΑΣ</v>
      </c>
      <c r="M216" t="str">
        <f t="shared" si="24"/>
        <v>ΚΕΝΤΡΙΚΗΣ ΜΑΚΕΔΟΝΙΑΣ - ΧΑΛΚΗΔΟΝΟΣ</v>
      </c>
      <c r="N216" s="203">
        <f t="shared" si="26"/>
        <v>14538</v>
      </c>
      <c r="O216" s="203" t="str">
        <f t="shared" si="27"/>
        <v>Χαλκηδόνος</v>
      </c>
    </row>
    <row r="217" spans="1:15" x14ac:dyDescent="0.25">
      <c r="A217" s="205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31" t="s">
        <v>790</v>
      </c>
      <c r="G217" s="231">
        <v>14550</v>
      </c>
      <c r="H217" t="str">
        <f>IFERROR(INDEX(DimosNaiOxi,MATCH(ΤΚ!E217,DimosNai,0)),"")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205">
        <f t="shared" si="22"/>
        <v>216</v>
      </c>
      <c r="L217" t="str">
        <f t="shared" si="23"/>
        <v>ΚΕΝΤΡΙΚΗΣ ΜΑΚΕΔΟΝΙΑΣ</v>
      </c>
      <c r="M217" t="str">
        <f t="shared" si="24"/>
        <v>ΚΕΝΤΡΙΚΗΣ ΜΑΚΕΔΟΝΙΑΣ - ΩΡΑΙΟΚΑΣΤΡΟΥ</v>
      </c>
      <c r="N217" s="203">
        <f t="shared" si="26"/>
        <v>14550</v>
      </c>
      <c r="O217" s="203" t="str">
        <f t="shared" si="27"/>
        <v>Ωραιοκάστρου</v>
      </c>
    </row>
    <row r="218" spans="1:15" x14ac:dyDescent="0.25">
      <c r="A218" s="205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31" t="s">
        <v>791</v>
      </c>
      <c r="G218" s="231">
        <v>13926</v>
      </c>
      <c r="H218" t="str">
        <f>IFERROR(INDEX(DimosNaiOxi,MATCH(ΤΚ!E218,DimosNai,0)),"")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205">
        <f t="shared" si="22"/>
        <v>217</v>
      </c>
      <c r="L218" t="str">
        <f t="shared" si="23"/>
        <v>ΚΡΗΤΗΣ</v>
      </c>
      <c r="M218" t="str">
        <f t="shared" si="24"/>
        <v>ΚΡΗΤΗΣ - ΑΓΙΟΥ ΒΑΣΙΛΕΙΟΥ</v>
      </c>
      <c r="N218" s="203">
        <f t="shared" si="26"/>
        <v>13926</v>
      </c>
      <c r="O218" s="203" t="str">
        <f t="shared" si="27"/>
        <v>Αγίου Βασιλείου</v>
      </c>
    </row>
    <row r="219" spans="1:15" x14ac:dyDescent="0.25">
      <c r="A219" s="205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31" t="s">
        <v>792</v>
      </c>
      <c r="G219" s="231">
        <v>13932</v>
      </c>
      <c r="H219" t="str">
        <f>IFERROR(INDEX(DimosNaiOxi,MATCH(ΤΚ!E219,DimosNai,0)),"")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205">
        <f t="shared" si="22"/>
        <v>218</v>
      </c>
      <c r="L219" t="str">
        <f t="shared" si="23"/>
        <v>ΚΡΗΤΗΣ</v>
      </c>
      <c r="M219" t="str">
        <f t="shared" si="24"/>
        <v>ΚΡΗΤΗΣ - ΑΓΙΟΥ ΝΙΚΟΛΑΟΥ</v>
      </c>
      <c r="N219" s="203">
        <f t="shared" si="26"/>
        <v>13932</v>
      </c>
      <c r="O219" s="203" t="str">
        <f t="shared" si="27"/>
        <v>Αγίου Νικολάου</v>
      </c>
    </row>
    <row r="220" spans="1:15" x14ac:dyDescent="0.25">
      <c r="A220" s="205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31" t="s">
        <v>793</v>
      </c>
      <c r="G220" s="231">
        <v>13966</v>
      </c>
      <c r="H220" t="str">
        <f>IFERROR(INDEX(DimosNaiOxi,MATCH(ΤΚ!E220,DimosNai,0)),"")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205">
        <f t="shared" si="22"/>
        <v>219</v>
      </c>
      <c r="L220" t="str">
        <f t="shared" si="23"/>
        <v>ΚΡΗΤΗΣ</v>
      </c>
      <c r="M220" t="str">
        <f t="shared" si="24"/>
        <v>ΚΡΗΤΗΣ - ΑΜΑΡΙΟΥ</v>
      </c>
      <c r="N220" s="203">
        <f t="shared" si="26"/>
        <v>13966</v>
      </c>
      <c r="O220" s="203" t="str">
        <f t="shared" si="27"/>
        <v>Αμάριου</v>
      </c>
    </row>
    <row r="221" spans="1:15" x14ac:dyDescent="0.25">
      <c r="A221" s="205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31" t="s">
        <v>794</v>
      </c>
      <c r="G221" s="231">
        <v>13992</v>
      </c>
      <c r="H221" t="str">
        <f>IFERROR(INDEX(DimosNaiOxi,MATCH(ΤΚ!E221,DimosNai,0)),"")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205">
        <f t="shared" si="22"/>
        <v>220</v>
      </c>
      <c r="L221" t="str">
        <f t="shared" si="23"/>
        <v>ΚΡΗΤΗΣ</v>
      </c>
      <c r="M221" t="str">
        <f t="shared" si="24"/>
        <v>ΚΡΗΤΗΣ - ΑΝΩΓΕΙΩΝ</v>
      </c>
      <c r="N221" s="203">
        <f t="shared" si="26"/>
        <v>13992</v>
      </c>
      <c r="O221" s="203" t="str">
        <f t="shared" si="27"/>
        <v>Ανωγείων</v>
      </c>
    </row>
    <row r="222" spans="1:15" x14ac:dyDescent="0.25">
      <c r="A222" s="205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31" t="s">
        <v>795</v>
      </c>
      <c r="G222" s="231">
        <v>13994</v>
      </c>
      <c r="H222" t="str">
        <f>IFERROR(INDEX(DimosNaiOxi,MATCH(ΤΚ!E222,DimosNai,0)),"")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205">
        <f t="shared" si="22"/>
        <v>221</v>
      </c>
      <c r="L222" t="str">
        <f t="shared" si="23"/>
        <v>ΚΡΗΤΗΣ</v>
      </c>
      <c r="M222" t="str">
        <f t="shared" si="24"/>
        <v>ΚΡΗΤΗΣ - ΑΠΟΚΟΡΩΝΟΥ</v>
      </c>
      <c r="N222" s="203">
        <f t="shared" si="26"/>
        <v>13994</v>
      </c>
      <c r="O222" s="203" t="str">
        <f t="shared" si="27"/>
        <v>Αποκορώνου</v>
      </c>
    </row>
    <row r="223" spans="1:15" x14ac:dyDescent="0.25">
      <c r="A223" s="205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31" t="s">
        <v>796</v>
      </c>
      <c r="G223" s="231">
        <v>14006</v>
      </c>
      <c r="H223" t="str">
        <f>IFERROR(INDEX(DimosNaiOxi,MATCH(ΤΚ!E223,DimosNai,0)),"")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205">
        <f t="shared" si="22"/>
        <v>222</v>
      </c>
      <c r="L223" t="str">
        <f t="shared" si="23"/>
        <v>ΚΡΗΤΗΣ</v>
      </c>
      <c r="M223" t="str">
        <f t="shared" si="24"/>
        <v>ΚΡΗΤΗΣ - ΑΡΧΑΝΩΝ – ΑΣΤΕΡΟΥΣΙΩΝ</v>
      </c>
      <c r="N223" s="203">
        <f t="shared" si="26"/>
        <v>14006</v>
      </c>
      <c r="O223" s="203" t="str">
        <f t="shared" si="27"/>
        <v>Αρχανών - Αστερουσίων</v>
      </c>
    </row>
    <row r="224" spans="1:15" x14ac:dyDescent="0.25">
      <c r="A224" s="205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31" t="s">
        <v>797</v>
      </c>
      <c r="G224" s="231">
        <v>14028</v>
      </c>
      <c r="H224" t="str">
        <f>IFERROR(INDEX(DimosNaiOxi,MATCH(ΤΚ!E224,DimosNai,0)),"")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205">
        <f t="shared" si="22"/>
        <v>223</v>
      </c>
      <c r="L224" t="str">
        <f t="shared" si="23"/>
        <v>ΚΡΗΤΗΣ</v>
      </c>
      <c r="M224" t="str">
        <f t="shared" si="24"/>
        <v>ΚΡΗΤΗΣ - ΒΙΑΝΝΟΥ</v>
      </c>
      <c r="N224" s="203">
        <f t="shared" si="26"/>
        <v>14028</v>
      </c>
      <c r="O224" s="203" t="str">
        <f t="shared" si="27"/>
        <v>Βιάννου</v>
      </c>
    </row>
    <row r="225" spans="1:15" x14ac:dyDescent="0.25">
      <c r="A225" s="205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31" t="s">
        <v>798</v>
      </c>
      <c r="G225" s="231">
        <v>14040</v>
      </c>
      <c r="H225" t="str">
        <f>IFERROR(INDEX(DimosNaiOxi,MATCH(ΤΚ!E225,DimosNai,0)),"")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205">
        <f t="shared" si="22"/>
        <v>224</v>
      </c>
      <c r="L225" t="str">
        <f t="shared" si="23"/>
        <v>ΚΡΗΤΗΣ</v>
      </c>
      <c r="M225" t="str">
        <f t="shared" si="24"/>
        <v>ΚΡΗΤΗΣ - ΓΑΥΔΟΥ</v>
      </c>
      <c r="N225" s="203">
        <f t="shared" si="26"/>
        <v>14040</v>
      </c>
      <c r="O225" s="203" t="str">
        <f t="shared" si="27"/>
        <v>Γαύδου</v>
      </c>
    </row>
    <row r="226" spans="1:15" x14ac:dyDescent="0.25">
      <c r="A226" s="205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31" t="s">
        <v>799</v>
      </c>
      <c r="G226" s="231">
        <v>14038</v>
      </c>
      <c r="H226" t="str">
        <f>IFERROR(INDEX(DimosNaiOxi,MATCH(ΤΚ!E226,DimosNai,0)),"")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205">
        <f t="shared" si="22"/>
        <v>225</v>
      </c>
      <c r="L226" t="str">
        <f t="shared" si="23"/>
        <v>ΚΡΗΤΗΣ</v>
      </c>
      <c r="M226" t="str">
        <f t="shared" si="24"/>
        <v>ΚΡΗΤΗΣ - ΓΟΡΤΥΝΑΣ</v>
      </c>
      <c r="N226" s="203">
        <f t="shared" si="26"/>
        <v>14038</v>
      </c>
      <c r="O226" s="203" t="str">
        <f t="shared" si="27"/>
        <v>Γόρτυνας</v>
      </c>
    </row>
    <row r="227" spans="1:15" x14ac:dyDescent="0.25">
      <c r="A227" s="205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31" t="s">
        <v>800</v>
      </c>
      <c r="G227" s="231">
        <v>14126</v>
      </c>
      <c r="H227" t="str">
        <f>IFERROR(INDEX(DimosNaiOxi,MATCH(ΤΚ!E227,DimosNai,0)),"")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205">
        <f t="shared" si="22"/>
        <v>226</v>
      </c>
      <c r="L227" t="str">
        <f t="shared" si="23"/>
        <v>ΚΡΗΤΗΣ</v>
      </c>
      <c r="M227" t="str">
        <f t="shared" si="24"/>
        <v>ΚΡΗΤΗΣ - ΗΡΑΚΛΕΙΟΥ</v>
      </c>
      <c r="N227" s="203">
        <f t="shared" si="26"/>
        <v>14126</v>
      </c>
      <c r="O227" s="203" t="str">
        <f t="shared" si="27"/>
        <v>Ηρακλείου</v>
      </c>
    </row>
    <row r="228" spans="1:15" x14ac:dyDescent="0.25">
      <c r="A228" s="205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31" t="s">
        <v>801</v>
      </c>
      <c r="G228" s="231">
        <v>14144</v>
      </c>
      <c r="H228" t="str">
        <f>IFERROR(INDEX(DimosNaiOxi,MATCH(ΤΚ!E228,DimosNai,0)),"")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205">
        <f t="shared" si="22"/>
        <v>227</v>
      </c>
      <c r="L228" t="str">
        <f t="shared" si="23"/>
        <v>ΚΡΗΤΗΣ</v>
      </c>
      <c r="M228" t="str">
        <f t="shared" si="24"/>
        <v>ΚΡΗΤΗΣ - ΙΕΡΑΠΕΤΡΑΣ</v>
      </c>
      <c r="N228" s="203">
        <f t="shared" si="26"/>
        <v>14144</v>
      </c>
      <c r="O228" s="203" t="str">
        <f t="shared" si="27"/>
        <v>Ιεράπετρας</v>
      </c>
    </row>
    <row r="229" spans="1:15" x14ac:dyDescent="0.25">
      <c r="A229" s="205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31" t="s">
        <v>802</v>
      </c>
      <c r="G229" s="231">
        <v>14190</v>
      </c>
      <c r="H229" t="str">
        <f>IFERROR(INDEX(DimosNaiOxi,MATCH(ΤΚ!E229,DimosNai,0)),"")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205">
        <f t="shared" si="22"/>
        <v>228</v>
      </c>
      <c r="L229" t="str">
        <f t="shared" si="23"/>
        <v>ΚΡΗΤΗΣ</v>
      </c>
      <c r="M229" t="str">
        <f t="shared" si="24"/>
        <v>ΚΡΗΤΗΣ - ΚΑΝΤΑΝΟΥ – ΣΕΛΙΝΟΥ</v>
      </c>
      <c r="N229" s="203">
        <f t="shared" si="26"/>
        <v>14190</v>
      </c>
      <c r="O229" s="203" t="str">
        <f t="shared" si="27"/>
        <v>Καντάνου - Σέλινου</v>
      </c>
    </row>
    <row r="230" spans="1:15" x14ac:dyDescent="0.25">
      <c r="A230" s="205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31" t="s">
        <v>803</v>
      </c>
      <c r="G230" s="231">
        <v>14220</v>
      </c>
      <c r="H230" t="str">
        <f>IFERROR(INDEX(DimosNaiOxi,MATCH(ΤΚ!E230,DimosNai,0)),"")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205">
        <f t="shared" si="22"/>
        <v>229</v>
      </c>
      <c r="L230" t="str">
        <f t="shared" si="23"/>
        <v>ΚΡΗΤΗΣ</v>
      </c>
      <c r="M230" t="str">
        <f t="shared" si="24"/>
        <v>ΚΡΗΤΗΣ - ΚΙΣΣΑΜΟΥ</v>
      </c>
      <c r="N230" s="203">
        <f t="shared" si="26"/>
        <v>14220</v>
      </c>
      <c r="O230" s="203" t="str">
        <f t="shared" si="27"/>
        <v>Κισσάμου</v>
      </c>
    </row>
    <row r="231" spans="1:15" x14ac:dyDescent="0.25">
      <c r="A231" s="205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31" t="s">
        <v>804</v>
      </c>
      <c r="G231" s="231">
        <v>14276</v>
      </c>
      <c r="H231" t="str">
        <f>IFERROR(INDEX(DimosNaiOxi,MATCH(ΤΚ!E231,DimosNai,0)),"")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205">
        <f t="shared" si="22"/>
        <v>230</v>
      </c>
      <c r="L231" t="str">
        <f t="shared" si="23"/>
        <v>ΚΡΗΤΗΣ</v>
      </c>
      <c r="M231" t="str">
        <f t="shared" si="24"/>
        <v>ΚΡΗΤΗΣ - ΜΑΛΕΒΙΖΙΟΥ</v>
      </c>
      <c r="N231" s="203">
        <f t="shared" si="26"/>
        <v>14276</v>
      </c>
      <c r="O231" s="203" t="str">
        <f t="shared" si="27"/>
        <v>Μαλεβιζίου</v>
      </c>
    </row>
    <row r="232" spans="1:15" x14ac:dyDescent="0.25">
      <c r="A232" s="205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31" t="s">
        <v>805</v>
      </c>
      <c r="G232" s="231">
        <v>14300</v>
      </c>
      <c r="H232" t="str">
        <f>IFERROR(INDEX(DimosNaiOxi,MATCH(ΤΚ!E232,DimosNai,0)),"")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205">
        <f t="shared" si="22"/>
        <v>231</v>
      </c>
      <c r="L232" t="str">
        <f t="shared" si="23"/>
        <v>ΚΡΗΤΗΣ</v>
      </c>
      <c r="M232" t="str">
        <f t="shared" si="24"/>
        <v>ΚΡΗΤΗΣ - ΜΙΝΩΑ ΠΕΔΙΑΔΑΣ</v>
      </c>
      <c r="N232" s="203">
        <f t="shared" si="26"/>
        <v>14300</v>
      </c>
      <c r="O232" s="203" t="str">
        <f t="shared" si="27"/>
        <v>Μινώα Πεδιάδας</v>
      </c>
    </row>
    <row r="233" spans="1:15" x14ac:dyDescent="0.25">
      <c r="A233" s="205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31" t="s">
        <v>806</v>
      </c>
      <c r="G233" s="231">
        <v>14310</v>
      </c>
      <c r="H233" t="str">
        <f>IFERROR(INDEX(DimosNaiOxi,MATCH(ΤΚ!E233,DimosNai,0)),"")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205">
        <f t="shared" si="22"/>
        <v>232</v>
      </c>
      <c r="L233" t="str">
        <f t="shared" si="23"/>
        <v>ΚΡΗΤΗΣ</v>
      </c>
      <c r="M233" t="str">
        <f t="shared" si="24"/>
        <v>ΚΡΗΤΗΣ - ΜΥΛΟΠΟΤΑΜΟΥ</v>
      </c>
      <c r="N233" s="203">
        <f t="shared" si="26"/>
        <v>14310</v>
      </c>
      <c r="O233" s="203" t="str">
        <f t="shared" si="27"/>
        <v>Μυλοποτάμου</v>
      </c>
    </row>
    <row r="234" spans="1:15" x14ac:dyDescent="0.25">
      <c r="A234" s="205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31" t="s">
        <v>807</v>
      </c>
      <c r="G234" s="231">
        <v>14360</v>
      </c>
      <c r="H234" t="str">
        <f>IFERROR(INDEX(DimosNaiOxi,MATCH(ΤΚ!E234,DimosNai,0)),"")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205">
        <f t="shared" si="22"/>
        <v>233</v>
      </c>
      <c r="L234" t="str">
        <f t="shared" si="23"/>
        <v>ΚΡΗΤΗΣ</v>
      </c>
      <c r="M234" t="str">
        <f t="shared" si="24"/>
        <v>ΚΡΗΤΗΣ - ΟΡΟΠΕΔΙΟΥ ΛΑΣΙΘΙΟΥ</v>
      </c>
      <c r="N234" s="203">
        <f t="shared" si="26"/>
        <v>14360</v>
      </c>
      <c r="O234" s="203" t="str">
        <f t="shared" si="27"/>
        <v>Οροπεδίου Λασιθίου</v>
      </c>
    </row>
    <row r="235" spans="1:15" x14ac:dyDescent="0.25">
      <c r="A235" s="205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31" t="s">
        <v>808</v>
      </c>
      <c r="G235" s="231">
        <v>14416</v>
      </c>
      <c r="H235" t="str">
        <f>IFERROR(INDEX(DimosNaiOxi,MATCH(ΤΚ!E235,DimosNai,0)),"")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205">
        <f t="shared" si="22"/>
        <v>234</v>
      </c>
      <c r="L235" t="str">
        <f t="shared" si="23"/>
        <v>ΚΡΗΤΗΣ</v>
      </c>
      <c r="M235" t="str">
        <f t="shared" si="24"/>
        <v>ΚΡΗΤΗΣ - ΠΛΑΤΑΝΙΑ</v>
      </c>
      <c r="N235" s="203">
        <f t="shared" si="26"/>
        <v>14416</v>
      </c>
      <c r="O235" s="203" t="str">
        <f t="shared" si="27"/>
        <v>Πλατανιά</v>
      </c>
    </row>
    <row r="236" spans="1:15" x14ac:dyDescent="0.25">
      <c r="A236" s="205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31" t="s">
        <v>809</v>
      </c>
      <c r="G236" s="231">
        <v>14436</v>
      </c>
      <c r="H236" t="str">
        <f>IFERROR(INDEX(DimosNaiOxi,MATCH(ΤΚ!E236,DimosNai,0)),"")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205">
        <f t="shared" si="22"/>
        <v>235</v>
      </c>
      <c r="L236" t="str">
        <f t="shared" si="23"/>
        <v>ΚΡΗΤΗΣ</v>
      </c>
      <c r="M236" t="str">
        <f t="shared" si="24"/>
        <v>ΚΡΗΤΗΣ - ΡΕΘΥΜΝΗΣ</v>
      </c>
      <c r="N236" s="203">
        <f t="shared" si="26"/>
        <v>14436</v>
      </c>
      <c r="O236" s="203" t="str">
        <f t="shared" si="27"/>
        <v>Ρεθύμνης</v>
      </c>
    </row>
    <row r="237" spans="1:15" x14ac:dyDescent="0.25">
      <c r="A237" s="205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31" t="s">
        <v>810</v>
      </c>
      <c r="G237" s="231">
        <v>14458</v>
      </c>
      <c r="H237" t="str">
        <f>IFERROR(INDEX(DimosNaiOxi,MATCH(ΤΚ!E237,DimosNai,0)),"")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205">
        <f t="shared" si="22"/>
        <v>236</v>
      </c>
      <c r="L237" t="str">
        <f t="shared" si="23"/>
        <v>ΚΡΗΤΗΣ</v>
      </c>
      <c r="M237" t="str">
        <f t="shared" si="24"/>
        <v>ΚΡΗΤΗΣ - ΣΗΤΕΙΑΣ</v>
      </c>
      <c r="N237" s="203">
        <f t="shared" si="26"/>
        <v>14458</v>
      </c>
      <c r="O237" s="203" t="str">
        <f t="shared" si="27"/>
        <v>Σητείας</v>
      </c>
    </row>
    <row r="238" spans="1:15" x14ac:dyDescent="0.25">
      <c r="A238" s="205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31" t="s">
        <v>811</v>
      </c>
      <c r="G238" s="231">
        <v>14490</v>
      </c>
      <c r="H238" t="str">
        <f>IFERROR(INDEX(DimosNaiOxi,MATCH(ΤΚ!E238,DimosNai,0)),"")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205">
        <f t="shared" si="22"/>
        <v>237</v>
      </c>
      <c r="L238" t="str">
        <f t="shared" si="23"/>
        <v>ΚΡΗΤΗΣ</v>
      </c>
      <c r="M238" t="str">
        <f t="shared" si="24"/>
        <v>ΚΡΗΤΗΣ - ΣΦΑΚΙΩΝ</v>
      </c>
      <c r="N238" s="203">
        <f t="shared" si="26"/>
        <v>14490</v>
      </c>
      <c r="O238" s="203" t="str">
        <f t="shared" si="27"/>
        <v>Σφακίων</v>
      </c>
    </row>
    <row r="239" spans="1:15" x14ac:dyDescent="0.25">
      <c r="A239" s="205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31" t="s">
        <v>812</v>
      </c>
      <c r="G239" s="231">
        <v>14512</v>
      </c>
      <c r="H239" t="str">
        <f>IFERROR(INDEX(DimosNaiOxi,MATCH(ΤΚ!E239,DimosNai,0)),"")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205">
        <f t="shared" si="22"/>
        <v>238</v>
      </c>
      <c r="L239" t="str">
        <f t="shared" si="23"/>
        <v>ΚΡΗΤΗΣ</v>
      </c>
      <c r="M239" t="str">
        <f t="shared" si="24"/>
        <v>ΚΡΗΤΗΣ - ΦΑΙΣΤΟΥ</v>
      </c>
      <c r="N239" s="203">
        <f t="shared" si="26"/>
        <v>14512</v>
      </c>
      <c r="O239" s="203" t="str">
        <f t="shared" si="27"/>
        <v>Φαιστού</v>
      </c>
    </row>
    <row r="240" spans="1:15" x14ac:dyDescent="0.25">
      <c r="A240" s="205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31" t="s">
        <v>813</v>
      </c>
      <c r="G240" s="231">
        <v>14542</v>
      </c>
      <c r="H240" t="str">
        <f>IFERROR(INDEX(DimosNaiOxi,MATCH(ΤΚ!E240,DimosNai,0)),"")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205">
        <f t="shared" si="22"/>
        <v>239</v>
      </c>
      <c r="L240" t="str">
        <f t="shared" si="23"/>
        <v>ΚΡΗΤΗΣ</v>
      </c>
      <c r="M240" t="str">
        <f t="shared" si="24"/>
        <v>ΚΡΗΤΗΣ - ΧΑΝΙΩΝ</v>
      </c>
      <c r="N240" s="203">
        <f t="shared" si="26"/>
        <v>14542</v>
      </c>
      <c r="O240" s="203" t="str">
        <f t="shared" si="27"/>
        <v>Χανίων</v>
      </c>
    </row>
    <row r="241" spans="1:15" x14ac:dyDescent="0.25">
      <c r="A241" s="205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31" t="s">
        <v>814</v>
      </c>
      <c r="G241" s="231">
        <v>14546</v>
      </c>
      <c r="H241" t="str">
        <f>IFERROR(INDEX(DimosNaiOxi,MATCH(ΤΚ!E241,DimosNai,0)),"")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205">
        <f t="shared" si="22"/>
        <v>240</v>
      </c>
      <c r="L241" t="str">
        <f t="shared" si="23"/>
        <v>ΚΡΗΤΗΣ</v>
      </c>
      <c r="M241" t="str">
        <f t="shared" si="24"/>
        <v>ΚΡΗΤΗΣ - ΧΕΡΣΟΝΗΣΟΥ</v>
      </c>
      <c r="N241" s="203">
        <f t="shared" si="26"/>
        <v>14546</v>
      </c>
      <c r="O241" s="203" t="str">
        <f t="shared" si="27"/>
        <v>Χερσονήσου</v>
      </c>
    </row>
    <row r="242" spans="1:15" x14ac:dyDescent="0.25">
      <c r="A242" s="205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31" t="s">
        <v>815</v>
      </c>
      <c r="G242" s="231">
        <v>13936</v>
      </c>
      <c r="H242" t="str">
        <f>IFERROR(INDEX(DimosNaiOxi,MATCH(ΤΚ!E242,DimosNai,0)),"")</f>
        <v/>
      </c>
      <c r="I242" t="str">
        <f>LOOKUP(B242,ΠΕΡΙΦΕΡΕΙΑ!$A$2:$A$14,ΠΕΡΙΦΕΡΕΙΑ!$B$2:$B$14)</f>
        <v>Ολική</v>
      </c>
      <c r="J242">
        <f t="shared" si="25"/>
        <v>241</v>
      </c>
      <c r="K242" s="205">
        <f t="shared" si="22"/>
        <v>241</v>
      </c>
      <c r="L242" t="str">
        <f t="shared" si="23"/>
        <v>ΝΟΤΙΟΥ ΑΙΓΑΙΟΥ</v>
      </c>
      <c r="M242" t="str">
        <f t="shared" si="24"/>
        <v>ΝΟΤΙΟΥ ΑΙΓΑΙΟΥ - ΑΓΑΘΟΝΗΣΙΟΥ</v>
      </c>
      <c r="N242" s="203">
        <f t="shared" si="26"/>
        <v>13936</v>
      </c>
      <c r="O242" s="203" t="str">
        <f t="shared" si="27"/>
        <v>Αγαθονησίου</v>
      </c>
    </row>
    <row r="243" spans="1:15" x14ac:dyDescent="0.25">
      <c r="A243" s="205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31" t="s">
        <v>816</v>
      </c>
      <c r="G243" s="231">
        <v>13970</v>
      </c>
      <c r="H243" t="str">
        <f>IFERROR(INDEX(DimosNaiOxi,MATCH(ΤΚ!E243,DimosNai,0)),"")</f>
        <v/>
      </c>
      <c r="I243" t="str">
        <f>LOOKUP(B243,ΠΕΡΙΦΕΡΕΙΑ!$A$2:$A$14,ΠΕΡΙΦΕΡΕΙΑ!$B$2:$B$14)</f>
        <v>Ολική</v>
      </c>
      <c r="J243">
        <f t="shared" si="25"/>
        <v>242</v>
      </c>
      <c r="K243" s="205">
        <f t="shared" si="22"/>
        <v>242</v>
      </c>
      <c r="L243" t="str">
        <f t="shared" si="23"/>
        <v>ΝΟΤΙΟΥ ΑΙΓΑΙΟΥ</v>
      </c>
      <c r="M243" t="str">
        <f t="shared" si="24"/>
        <v>ΝΟΤΙΟΥ ΑΙΓΑΙΟΥ - ΑΜΟΡΓΟΥ</v>
      </c>
      <c r="N243" s="203">
        <f t="shared" si="26"/>
        <v>13970</v>
      </c>
      <c r="O243" s="203" t="str">
        <f t="shared" si="27"/>
        <v>Αμοργού</v>
      </c>
    </row>
    <row r="244" spans="1:15" x14ac:dyDescent="0.25">
      <c r="A244" s="205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31" t="s">
        <v>817</v>
      </c>
      <c r="G244" s="231">
        <v>13982</v>
      </c>
      <c r="H244" t="str">
        <f>IFERROR(INDEX(DimosNaiOxi,MATCH(ΤΚ!E244,DimosNai,0)),"")</f>
        <v/>
      </c>
      <c r="I244" t="str">
        <f>LOOKUP(B244,ΠΕΡΙΦΕΡΕΙΑ!$A$2:$A$14,ΠΕΡΙΦΕΡΕΙΑ!$B$2:$B$14)</f>
        <v>Ολική</v>
      </c>
      <c r="J244">
        <f t="shared" si="25"/>
        <v>243</v>
      </c>
      <c r="K244" s="205">
        <f t="shared" si="22"/>
        <v>243</v>
      </c>
      <c r="L244" t="str">
        <f t="shared" si="23"/>
        <v>ΝΟΤΙΟΥ ΑΙΓΑΙΟΥ</v>
      </c>
      <c r="M244" t="str">
        <f t="shared" si="24"/>
        <v>ΝΟΤΙΟΥ ΑΙΓΑΙΟΥ - ΑΝΑΦΗΣ</v>
      </c>
      <c r="N244" s="203">
        <f t="shared" si="26"/>
        <v>13982</v>
      </c>
      <c r="O244" s="203" t="str">
        <f t="shared" si="27"/>
        <v>Ανάφης</v>
      </c>
    </row>
    <row r="245" spans="1:15" x14ac:dyDescent="0.25">
      <c r="A245" s="205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31" t="s">
        <v>818</v>
      </c>
      <c r="G245" s="231">
        <v>13908</v>
      </c>
      <c r="H245" t="str">
        <f>IFERROR(INDEX(DimosNaiOxi,MATCH(ΤΚ!E245,DimosNai,0)),"")</f>
        <v/>
      </c>
      <c r="I245" t="str">
        <f>LOOKUP(B245,ΠΕΡΙΦΕΡΕΙΑ!$A$2:$A$14,ΠΕΡΙΦΕΡΕΙΑ!$B$2:$B$14)</f>
        <v>Ολική</v>
      </c>
      <c r="J245">
        <f t="shared" si="25"/>
        <v>244</v>
      </c>
      <c r="K245" s="205">
        <f t="shared" si="22"/>
        <v>244</v>
      </c>
      <c r="L245" t="str">
        <f t="shared" si="23"/>
        <v>ΝΟΤΙΟΥ ΑΙΓΑΙΟΥ</v>
      </c>
      <c r="M245" t="str">
        <f t="shared" si="24"/>
        <v>ΝΟΤΙΟΥ ΑΙΓΑΙΟΥ - ΑΝΔΡΟΥ</v>
      </c>
      <c r="N245" s="203">
        <f t="shared" si="26"/>
        <v>13908</v>
      </c>
      <c r="O245" s="203" t="str">
        <f t="shared" si="27"/>
        <v>Άνδρου</v>
      </c>
    </row>
    <row r="246" spans="1:15" x14ac:dyDescent="0.25">
      <c r="A246" s="205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31" t="s">
        <v>819</v>
      </c>
      <c r="G246" s="231">
        <v>13990</v>
      </c>
      <c r="H246" t="str">
        <f>IFERROR(INDEX(DimosNaiOxi,MATCH(ΤΚ!E246,DimosNai,0)),"")</f>
        <v/>
      </c>
      <c r="I246" t="str">
        <f>LOOKUP(B246,ΠΕΡΙΦΕΡΕΙΑ!$A$2:$A$14,ΠΕΡΙΦΕΡΕΙΑ!$B$2:$B$14)</f>
        <v>Ολική</v>
      </c>
      <c r="J246">
        <f t="shared" si="25"/>
        <v>245</v>
      </c>
      <c r="K246" s="205">
        <f t="shared" si="22"/>
        <v>245</v>
      </c>
      <c r="L246" t="str">
        <f t="shared" si="23"/>
        <v>ΝΟΤΙΟΥ ΑΙΓΑΙΟΥ</v>
      </c>
      <c r="M246" t="str">
        <f t="shared" si="24"/>
        <v>ΝΟΤΙΟΥ ΑΙΓΑΙΟΥ - ΑΝΤΙΠΑΡΟΥ</v>
      </c>
      <c r="N246" s="203">
        <f t="shared" si="26"/>
        <v>13990</v>
      </c>
      <c r="O246" s="203" t="str">
        <f t="shared" si="27"/>
        <v>Αντιπάρου</v>
      </c>
    </row>
    <row r="247" spans="1:15" x14ac:dyDescent="0.25">
      <c r="A247" s="205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31" t="s">
        <v>820</v>
      </c>
      <c r="G247" s="231">
        <v>14010</v>
      </c>
      <c r="H247" t="str">
        <f>IFERROR(INDEX(DimosNaiOxi,MATCH(ΤΚ!E247,DimosNai,0)),"")</f>
        <v/>
      </c>
      <c r="I247" t="str">
        <f>LOOKUP(B247,ΠΕΡΙΦΕΡΕΙΑ!$A$2:$A$14,ΠΕΡΙΦΕΡΕΙΑ!$B$2:$B$14)</f>
        <v>Ολική</v>
      </c>
      <c r="J247">
        <f t="shared" si="25"/>
        <v>246</v>
      </c>
      <c r="K247" s="205">
        <f t="shared" si="22"/>
        <v>246</v>
      </c>
      <c r="L247" t="str">
        <f t="shared" si="23"/>
        <v>ΝΟΤΙΟΥ ΑΙΓΑΙΟΥ</v>
      </c>
      <c r="M247" t="str">
        <f t="shared" si="24"/>
        <v>ΝΟΤΙΟΥ ΑΙΓΑΙΟΥ - ΑΣΤΥΠΑΛΑΙΑΣ</v>
      </c>
      <c r="N247" s="203">
        <f t="shared" si="26"/>
        <v>14010</v>
      </c>
      <c r="O247" s="203" t="str">
        <f t="shared" si="27"/>
        <v>Αστυπαλαίας</v>
      </c>
    </row>
    <row r="248" spans="1:15" x14ac:dyDescent="0.25">
      <c r="A248" s="205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31" t="s">
        <v>821</v>
      </c>
      <c r="G248" s="231">
        <v>14134</v>
      </c>
      <c r="H248" t="str">
        <f>IFERROR(INDEX(DimosNaiOxi,MATCH(ΤΚ!E248,DimosNai,0)),"")</f>
        <v/>
      </c>
      <c r="I248" t="str">
        <f>LOOKUP(B248,ΠΕΡΙΦΕΡΕΙΑ!$A$2:$A$14,ΠΕΡΙΦΕΡΕΙΑ!$B$2:$B$14)</f>
        <v>Ολική</v>
      </c>
      <c r="J248">
        <f t="shared" si="25"/>
        <v>247</v>
      </c>
      <c r="K248" s="205">
        <f t="shared" si="22"/>
        <v>247</v>
      </c>
      <c r="L248" t="str">
        <f t="shared" si="23"/>
        <v>ΝΟΤΙΟΥ ΑΙΓΑΙΟΥ</v>
      </c>
      <c r="M248" t="str">
        <f t="shared" si="24"/>
        <v>ΝΟΤΙΟΥ ΑΙΓΑΙΟΥ - ΘΗΡΑΣ</v>
      </c>
      <c r="N248" s="203">
        <f t="shared" si="26"/>
        <v>14134</v>
      </c>
      <c r="O248" s="203" t="str">
        <f t="shared" si="27"/>
        <v>Θήρας</v>
      </c>
    </row>
    <row r="249" spans="1:15" x14ac:dyDescent="0.25">
      <c r="A249" s="205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31" t="s">
        <v>822</v>
      </c>
      <c r="G249" s="231">
        <v>14148</v>
      </c>
      <c r="H249" t="str">
        <f>IFERROR(INDEX(DimosNaiOxi,MATCH(ΤΚ!E249,DimosNai,0)),"")</f>
        <v/>
      </c>
      <c r="I249" t="str">
        <f>LOOKUP(B249,ΠΕΡΙΦΕΡΕΙΑ!$A$2:$A$14,ΠΕΡΙΦΕΡΕΙΑ!$B$2:$B$14)</f>
        <v>Ολική</v>
      </c>
      <c r="J249">
        <f t="shared" si="25"/>
        <v>248</v>
      </c>
      <c r="K249" s="205">
        <f t="shared" si="22"/>
        <v>248</v>
      </c>
      <c r="L249" t="str">
        <f t="shared" si="23"/>
        <v>ΝΟΤΙΟΥ ΑΙΓΑΙΟΥ</v>
      </c>
      <c r="M249" t="str">
        <f t="shared" si="24"/>
        <v>ΝΟΤΙΟΥ ΑΙΓΑΙΟΥ - ΙΗΤΩΝ</v>
      </c>
      <c r="N249" s="203">
        <f t="shared" si="26"/>
        <v>14148</v>
      </c>
      <c r="O249" s="203" t="str">
        <f t="shared" si="27"/>
        <v>Ιητών</v>
      </c>
    </row>
    <row r="250" spans="1:15" x14ac:dyDescent="0.25">
      <c r="A250" s="205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31" t="s">
        <v>823</v>
      </c>
      <c r="G250" s="231">
        <v>14188</v>
      </c>
      <c r="H250" t="str">
        <f>IFERROR(INDEX(DimosNaiOxi,MATCH(ΤΚ!E250,DimosNai,0)),"")</f>
        <v/>
      </c>
      <c r="I250" t="str">
        <f>LOOKUP(B250,ΠΕΡΙΦΕΡΕΙΑ!$A$2:$A$14,ΠΕΡΙΦΕΡΕΙΑ!$B$2:$B$14)</f>
        <v>Ολική</v>
      </c>
      <c r="J250">
        <f t="shared" si="25"/>
        <v>249</v>
      </c>
      <c r="K250" s="205">
        <f t="shared" si="22"/>
        <v>249</v>
      </c>
      <c r="L250" t="str">
        <f t="shared" si="23"/>
        <v>ΝΟΤΙΟΥ ΑΙΓΑΙΟΥ</v>
      </c>
      <c r="M250" t="str">
        <f t="shared" si="24"/>
        <v>ΝΟΤΙΟΥ ΑΙΓΑΙΟΥ - ΚΑΛΥΜΝΙΩΝ</v>
      </c>
      <c r="N250" s="203">
        <f t="shared" si="26"/>
        <v>14188</v>
      </c>
      <c r="O250" s="203" t="str">
        <f t="shared" si="27"/>
        <v>Καλυμνίων</v>
      </c>
    </row>
    <row r="251" spans="1:15" x14ac:dyDescent="0.25">
      <c r="A251" s="205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31" t="s">
        <v>824</v>
      </c>
      <c r="G251" s="231">
        <v>14196</v>
      </c>
      <c r="H251" t="str">
        <f>IFERROR(INDEX(DimosNaiOxi,MATCH(ΤΚ!E251,DimosNai,0)),"")</f>
        <v/>
      </c>
      <c r="I251" t="str">
        <f>LOOKUP(B251,ΠΕΡΙΦΕΡΕΙΑ!$A$2:$A$14,ΠΕΡΙΦΕΡΕΙΑ!$B$2:$B$14)</f>
        <v>Ολική</v>
      </c>
      <c r="J251">
        <f t="shared" si="25"/>
        <v>250</v>
      </c>
      <c r="K251" s="205">
        <f t="shared" si="22"/>
        <v>250</v>
      </c>
      <c r="L251" t="str">
        <f t="shared" si="23"/>
        <v>ΝΟΤΙΟΥ ΑΙΓΑΙΟΥ</v>
      </c>
      <c r="M251" t="str">
        <f t="shared" si="24"/>
        <v>ΝΟΤΙΟΥ ΑΙΓΑΙΟΥ - ΚΑΡΠΑΘΟΥ</v>
      </c>
      <c r="N251" s="203">
        <f t="shared" si="26"/>
        <v>14196</v>
      </c>
      <c r="O251" s="203" t="str">
        <f t="shared" si="27"/>
        <v>Καρπάθου</v>
      </c>
    </row>
    <row r="252" spans="1:15" x14ac:dyDescent="0.25">
      <c r="A252" s="205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31" t="s">
        <v>825</v>
      </c>
      <c r="G252" s="231">
        <v>14160</v>
      </c>
      <c r="H252" t="str">
        <f>IFERROR(INDEX(DimosNaiOxi,MATCH(ΤΚ!E252,DimosNai,0)),"")</f>
        <v/>
      </c>
      <c r="I252" t="str">
        <f>LOOKUP(B252,ΠΕΡΙΦΕΡΕΙΑ!$A$2:$A$14,ΠΕΡΙΦΕΡΕΙΑ!$B$2:$B$14)</f>
        <v>Ολική</v>
      </c>
      <c r="J252">
        <f t="shared" si="25"/>
        <v>251</v>
      </c>
      <c r="K252" s="205">
        <f t="shared" si="22"/>
        <v>251</v>
      </c>
      <c r="L252" t="str">
        <f t="shared" si="23"/>
        <v>ΝΟΤΙΟΥ ΑΙΓΑΙΟΥ</v>
      </c>
      <c r="M252" t="str">
        <f t="shared" si="24"/>
        <v>ΝΟΤΙΟΥ ΑΙΓΑΙΟΥ - ΚΑΣΟΥ</v>
      </c>
      <c r="N252" s="203">
        <f t="shared" si="26"/>
        <v>14160</v>
      </c>
      <c r="O252" s="203" t="str">
        <f t="shared" si="27"/>
        <v>Κάσου</v>
      </c>
    </row>
    <row r="253" spans="1:15" x14ac:dyDescent="0.25">
      <c r="A253" s="205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31" t="s">
        <v>826</v>
      </c>
      <c r="G253" s="231">
        <v>14164</v>
      </c>
      <c r="H253" t="str">
        <f>IFERROR(INDEX(DimosNaiOxi,MATCH(ΤΚ!E253,DimosNai,0)),"")</f>
        <v/>
      </c>
      <c r="I253" t="str">
        <f>LOOKUP(B253,ΠΕΡΙΦΕΡΕΙΑ!$A$2:$A$14,ΠΕΡΙΦΕΡΕΙΑ!$B$2:$B$14)</f>
        <v>Ολική</v>
      </c>
      <c r="J253">
        <f t="shared" si="25"/>
        <v>252</v>
      </c>
      <c r="K253" s="205">
        <f t="shared" si="22"/>
        <v>252</v>
      </c>
      <c r="L253" t="str">
        <f t="shared" si="23"/>
        <v>ΝΟΤΙΟΥ ΑΙΓΑΙΟΥ</v>
      </c>
      <c r="M253" t="str">
        <f t="shared" si="24"/>
        <v>ΝΟΤΙΟΥ ΑΙΓΑΙΟΥ - ΚΕΑΣ</v>
      </c>
      <c r="N253" s="203">
        <f t="shared" si="26"/>
        <v>14164</v>
      </c>
      <c r="O253" s="203" t="str">
        <f t="shared" si="27"/>
        <v>Κέας</v>
      </c>
    </row>
    <row r="254" spans="1:15" x14ac:dyDescent="0.25">
      <c r="A254" s="205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31" t="s">
        <v>827</v>
      </c>
      <c r="G254" s="231">
        <v>14218</v>
      </c>
      <c r="H254" t="str">
        <f>IFERROR(INDEX(DimosNaiOxi,MATCH(ΤΚ!E254,DimosNai,0)),"")</f>
        <v/>
      </c>
      <c r="I254" t="str">
        <f>LOOKUP(B254,ΠΕΡΙΦΕΡΕΙΑ!$A$2:$A$14,ΠΕΡΙΦΕΡΕΙΑ!$B$2:$B$14)</f>
        <v>Ολική</v>
      </c>
      <c r="J254">
        <f t="shared" si="25"/>
        <v>253</v>
      </c>
      <c r="K254" s="205">
        <f t="shared" si="22"/>
        <v>253</v>
      </c>
      <c r="L254" t="str">
        <f t="shared" si="23"/>
        <v>ΝΟΤΙΟΥ ΑΙΓΑΙΟΥ</v>
      </c>
      <c r="M254" t="str">
        <f t="shared" si="24"/>
        <v>ΝΟΤΙΟΥ ΑΙΓΑΙΟΥ - ΚΙΜΩΛΟΥ</v>
      </c>
      <c r="N254" s="203">
        <f t="shared" si="26"/>
        <v>14218</v>
      </c>
      <c r="O254" s="203" t="str">
        <f t="shared" si="27"/>
        <v>Κιμώλου</v>
      </c>
    </row>
    <row r="255" spans="1:15" x14ac:dyDescent="0.25">
      <c r="A255" s="205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31" t="s">
        <v>828</v>
      </c>
      <c r="G255" s="231">
        <v>14170</v>
      </c>
      <c r="H255" t="str">
        <f>IFERROR(INDEX(DimosNaiOxi,MATCH(ΤΚ!E255,DimosNai,0)),"")</f>
        <v/>
      </c>
      <c r="I255" t="str">
        <f>LOOKUP(B255,ΠΕΡΙΦΕΡΕΙΑ!$A$2:$A$14,ΠΕΡΙΦΕΡΕΙΑ!$B$2:$B$14)</f>
        <v>Ολική</v>
      </c>
      <c r="J255">
        <f t="shared" si="25"/>
        <v>254</v>
      </c>
      <c r="K255" s="205">
        <f t="shared" si="22"/>
        <v>254</v>
      </c>
      <c r="L255" t="str">
        <f t="shared" si="23"/>
        <v>ΝΟΤΙΟΥ ΑΙΓΑΙΟΥ</v>
      </c>
      <c r="M255" t="str">
        <f t="shared" si="24"/>
        <v>ΝΟΤΙΟΥ ΑΙΓΑΙΟΥ - ΚΥΘΝΟΥ</v>
      </c>
      <c r="N255" s="203">
        <f t="shared" si="26"/>
        <v>14170</v>
      </c>
      <c r="O255" s="203" t="str">
        <f t="shared" si="27"/>
        <v>Κύθνου</v>
      </c>
    </row>
    <row r="256" spans="1:15" x14ac:dyDescent="0.25">
      <c r="A256" s="205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31" t="s">
        <v>829</v>
      </c>
      <c r="G256" s="231">
        <v>14236</v>
      </c>
      <c r="H256" t="str">
        <f>IFERROR(INDEX(DimosNaiOxi,MATCH(ΤΚ!E256,DimosNai,0)),"")</f>
        <v/>
      </c>
      <c r="I256" t="str">
        <f>LOOKUP(B256,ΠΕΡΙΦΕΡΕΙΑ!$A$2:$A$14,ΠΕΡΙΦΕΡΕΙΑ!$B$2:$B$14)</f>
        <v>Ολική</v>
      </c>
      <c r="J256">
        <f t="shared" si="25"/>
        <v>255</v>
      </c>
      <c r="K256" s="205">
        <f t="shared" si="22"/>
        <v>255</v>
      </c>
      <c r="L256" t="str">
        <f t="shared" si="23"/>
        <v>ΝΟΤΙΟΥ ΑΙΓΑΙΟΥ</v>
      </c>
      <c r="M256" t="str">
        <f t="shared" si="24"/>
        <v>ΝΟΤΙΟΥ ΑΙΓΑΙΟΥ - ΚΩ</v>
      </c>
      <c r="N256" s="203">
        <f t="shared" si="26"/>
        <v>14236</v>
      </c>
      <c r="O256" s="203" t="str">
        <f t="shared" si="27"/>
        <v>Κω</v>
      </c>
    </row>
    <row r="257" spans="1:15" x14ac:dyDescent="0.25">
      <c r="A257" s="205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31" t="s">
        <v>830</v>
      </c>
      <c r="G257" s="231">
        <v>14256</v>
      </c>
      <c r="H257" t="str">
        <f>IFERROR(INDEX(DimosNaiOxi,MATCH(ΤΚ!E257,DimosNai,0)),"")</f>
        <v/>
      </c>
      <c r="I257" t="str">
        <f>LOOKUP(B257,ΠΕΡΙΦΕΡΕΙΑ!$A$2:$A$14,ΠΕΡΙΦΕΡΕΙΑ!$B$2:$B$14)</f>
        <v>Ολική</v>
      </c>
      <c r="J257">
        <f t="shared" si="25"/>
        <v>256</v>
      </c>
      <c r="K257" s="205">
        <f t="shared" si="22"/>
        <v>256</v>
      </c>
      <c r="L257" t="str">
        <f t="shared" si="23"/>
        <v>ΝΟΤΙΟΥ ΑΙΓΑΙΟΥ</v>
      </c>
      <c r="M257" t="str">
        <f t="shared" si="24"/>
        <v>ΝΟΤΙΟΥ ΑΙΓΑΙΟΥ - ΛΕΙΨΩΝ</v>
      </c>
      <c r="N257" s="203">
        <f t="shared" si="26"/>
        <v>14256</v>
      </c>
      <c r="O257" s="203" t="str">
        <f t="shared" si="27"/>
        <v>Λειψών</v>
      </c>
    </row>
    <row r="258" spans="1:15" x14ac:dyDescent="0.25">
      <c r="A258" s="205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31" t="s">
        <v>831</v>
      </c>
      <c r="G258" s="231">
        <v>14238</v>
      </c>
      <c r="H258" t="str">
        <f>IFERROR(INDEX(DimosNaiOxi,MATCH(ΤΚ!E258,DimosNai,0)),"")</f>
        <v/>
      </c>
      <c r="I258" t="str">
        <f>LOOKUP(B258,ΠΕΡΙΦΕΡΕΙΑ!$A$2:$A$14,ΠΕΡΙΦΕΡΕΙΑ!$B$2:$B$14)</f>
        <v>Ολική</v>
      </c>
      <c r="J258">
        <f t="shared" si="25"/>
        <v>257</v>
      </c>
      <c r="K258" s="205">
        <f t="shared" ref="K258:K321" si="29">SMALL(J:J,A258)</f>
        <v>257</v>
      </c>
      <c r="L258" t="str">
        <f t="shared" ref="L258:L321" si="30">IF(ISNUMBER(K258),LOOKUP(K258,A:A,B:B),"")</f>
        <v>ΝΟΤΙΟΥ ΑΙΓΑΙΟΥ</v>
      </c>
      <c r="M258" t="str">
        <f t="shared" ref="M258:M326" si="31">IF(ISNUMBER(K258),LOOKUP(K258,A:A,B:B)&amp;" - "&amp;LOOKUP(K258,A:A,D:D),"")</f>
        <v>ΝΟΤΙΟΥ ΑΙΓΑΙΟΥ - ΛΕΡΟΥ</v>
      </c>
      <c r="N258" s="203">
        <f t="shared" si="26"/>
        <v>14238</v>
      </c>
      <c r="O258" s="203" t="str">
        <f t="shared" si="27"/>
        <v>Λέρου</v>
      </c>
    </row>
    <row r="259" spans="1:15" x14ac:dyDescent="0.25">
      <c r="A259" s="205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31" t="s">
        <v>832</v>
      </c>
      <c r="G259" s="231">
        <v>14286</v>
      </c>
      <c r="H259" t="str">
        <f>IFERROR(INDEX(DimosNaiOxi,MATCH(ΤΚ!E259,DimosNai,0)),"")</f>
        <v/>
      </c>
      <c r="I259" t="str">
        <f>LOOKUP(B259,ΠΕΡΙΦΕΡΕΙΑ!$A$2:$A$14,ΠΕΡΙΦΕΡΕΙΑ!$B$2:$B$14)</f>
        <v>Ολική</v>
      </c>
      <c r="J259">
        <f t="shared" ref="J259:J322" si="32">IF(OR(AND(I259="Μερική",H259="ΝΑΙ"),I259="Ολική"),A259,"")</f>
        <v>258</v>
      </c>
      <c r="K259" s="205">
        <f t="shared" si="29"/>
        <v>258</v>
      </c>
      <c r="L259" t="str">
        <f t="shared" si="30"/>
        <v>ΝΟΤΙΟΥ ΑΙΓΑΙΟΥ</v>
      </c>
      <c r="M259" t="str">
        <f t="shared" si="31"/>
        <v>ΝΟΤΙΟΥ ΑΙΓΑΙΟΥ - ΜΕΓΙΣΤΗΣ</v>
      </c>
      <c r="N259" s="203">
        <f t="shared" ref="N259:N322" si="33">IF(ISNUMBER(K259),LOOKUP(K259,A:A,G:G),"")</f>
        <v>14286</v>
      </c>
      <c r="O259" s="203" t="str">
        <f t="shared" ref="O259:O322" si="34">IF(ISNUMBER(K259),LOOKUP(K259,A:A,F:F),"")</f>
        <v>Μεγίστης</v>
      </c>
    </row>
    <row r="260" spans="1:15" x14ac:dyDescent="0.25">
      <c r="A260" s="205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31" t="s">
        <v>833</v>
      </c>
      <c r="G260" s="231">
        <v>14268</v>
      </c>
      <c r="H260" t="str">
        <f>IFERROR(INDEX(DimosNaiOxi,MATCH(ΤΚ!E260,DimosNai,0)),"")</f>
        <v/>
      </c>
      <c r="I260" t="str">
        <f>LOOKUP(B260,ΠΕΡΙΦΕΡΕΙΑ!$A$2:$A$14,ΠΕΡΙΦΕΡΕΙΑ!$B$2:$B$14)</f>
        <v>Ολική</v>
      </c>
      <c r="J260">
        <f t="shared" si="32"/>
        <v>259</v>
      </c>
      <c r="K260" s="205">
        <f t="shared" si="29"/>
        <v>259</v>
      </c>
      <c r="L260" t="str">
        <f t="shared" si="30"/>
        <v>ΝΟΤΙΟΥ ΑΙΓΑΙΟΥ</v>
      </c>
      <c r="M260" t="str">
        <f t="shared" si="31"/>
        <v>ΝΟΤΙΟΥ ΑΙΓΑΙΟΥ - ΜΗΛΟΥ</v>
      </c>
      <c r="N260" s="203">
        <f t="shared" si="33"/>
        <v>14268</v>
      </c>
      <c r="O260" s="203" t="str">
        <f t="shared" si="34"/>
        <v>Μήλου</v>
      </c>
    </row>
    <row r="261" spans="1:15" x14ac:dyDescent="0.25">
      <c r="A261" s="205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31" t="s">
        <v>834</v>
      </c>
      <c r="G261" s="231">
        <v>14308</v>
      </c>
      <c r="H261" t="str">
        <f>IFERROR(INDEX(DimosNaiOxi,MATCH(ΤΚ!E261,DimosNai,0)),"")</f>
        <v/>
      </c>
      <c r="I261" t="str">
        <f>LOOKUP(B261,ΠΕΡΙΦΕΡΕΙΑ!$A$2:$A$14,ΠΕΡΙΦΕΡΕΙΑ!$B$2:$B$14)</f>
        <v>Ολική</v>
      </c>
      <c r="J261">
        <f t="shared" si="32"/>
        <v>260</v>
      </c>
      <c r="K261" s="205">
        <f t="shared" si="29"/>
        <v>260</v>
      </c>
      <c r="L261" t="str">
        <f t="shared" si="30"/>
        <v>ΝΟΤΙΟΥ ΑΙΓΑΙΟΥ</v>
      </c>
      <c r="M261" t="str">
        <f t="shared" si="31"/>
        <v>ΝΟΤΙΟΥ ΑΙΓΑΙΟΥ - ΜΥΚΟΝΟΥ</v>
      </c>
      <c r="N261" s="203">
        <f t="shared" si="33"/>
        <v>14308</v>
      </c>
      <c r="O261" s="203" t="str">
        <f t="shared" si="34"/>
        <v>Μυκόνου</v>
      </c>
    </row>
    <row r="262" spans="1:15" x14ac:dyDescent="0.25">
      <c r="A262" s="205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31" t="s">
        <v>835</v>
      </c>
      <c r="G262" s="231">
        <v>14312</v>
      </c>
      <c r="H262" t="str">
        <f>IFERROR(INDEX(DimosNaiOxi,MATCH(ΤΚ!E262,DimosNai,0)),"")</f>
        <v/>
      </c>
      <c r="I262" t="str">
        <f>LOOKUP(B262,ΠΕΡΙΦΕΡΕΙΑ!$A$2:$A$14,ΠΕΡΙΦΕΡΕΙΑ!$B$2:$B$14)</f>
        <v>Ολική</v>
      </c>
      <c r="J262">
        <f t="shared" si="32"/>
        <v>261</v>
      </c>
      <c r="K262" s="205">
        <f t="shared" si="29"/>
        <v>261</v>
      </c>
      <c r="L262" t="str">
        <f t="shared" si="30"/>
        <v>ΝΟΤΙΟΥ ΑΙΓΑΙΟΥ</v>
      </c>
      <c r="M262" t="str">
        <f t="shared" si="31"/>
        <v>ΝΟΤΙΟΥ ΑΙΓΑΙΟΥ - ΝΑΞΟΥ ΚΑΙ ΜΙΚΡΩΝ ΚΥΚΛΑΔΩΝ</v>
      </c>
      <c r="N262" s="203">
        <f t="shared" si="33"/>
        <v>14312</v>
      </c>
      <c r="O262" s="203" t="str">
        <f t="shared" si="34"/>
        <v>Νάξου &amp; Μικρών Κυκλάδων</v>
      </c>
    </row>
    <row r="263" spans="1:15" x14ac:dyDescent="0.25">
      <c r="A263" s="205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31" t="s">
        <v>836</v>
      </c>
      <c r="G263" s="231">
        <v>14342</v>
      </c>
      <c r="H263" t="str">
        <f>IFERROR(INDEX(DimosNaiOxi,MATCH(ΤΚ!E263,DimosNai,0)),"")</f>
        <v/>
      </c>
      <c r="I263" t="str">
        <f>LOOKUP(B263,ΠΕΡΙΦΕΡΕΙΑ!$A$2:$A$14,ΠΕΡΙΦΕΡΕΙΑ!$B$2:$B$14)</f>
        <v>Ολική</v>
      </c>
      <c r="J263">
        <f t="shared" si="32"/>
        <v>262</v>
      </c>
      <c r="K263" s="205">
        <f t="shared" si="29"/>
        <v>262</v>
      </c>
      <c r="L263" t="str">
        <f t="shared" si="30"/>
        <v>ΝΟΤΙΟΥ ΑΙΓΑΙΟΥ</v>
      </c>
      <c r="M263" t="str">
        <f t="shared" si="31"/>
        <v>ΝΟΤΙΟΥ ΑΙΓΑΙΟΥ - ΝΙΣΥΡΟΥ</v>
      </c>
      <c r="N263" s="203">
        <f t="shared" si="33"/>
        <v>14342</v>
      </c>
      <c r="O263" s="203" t="str">
        <f t="shared" si="34"/>
        <v>Νισύρου</v>
      </c>
    </row>
    <row r="264" spans="1:15" x14ac:dyDescent="0.25">
      <c r="A264" s="205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31" t="s">
        <v>837</v>
      </c>
      <c r="G264" s="231">
        <v>14366</v>
      </c>
      <c r="H264" t="str">
        <f>IFERROR(INDEX(DimosNaiOxi,MATCH(ΤΚ!E264,DimosNai,0)),"")</f>
        <v/>
      </c>
      <c r="I264" t="str">
        <f>LOOKUP(B264,ΠΕΡΙΦΕΡΕΙΑ!$A$2:$A$14,ΠΕΡΙΦΕΡΕΙΑ!$B$2:$B$14)</f>
        <v>Ολική</v>
      </c>
      <c r="J264">
        <f t="shared" si="32"/>
        <v>263</v>
      </c>
      <c r="K264" s="205">
        <f t="shared" si="29"/>
        <v>263</v>
      </c>
      <c r="L264" t="str">
        <f t="shared" si="30"/>
        <v>ΝΟΤΙΟΥ ΑΙΓΑΙΟΥ</v>
      </c>
      <c r="M264" t="str">
        <f t="shared" si="31"/>
        <v>ΝΟΤΙΟΥ ΑΙΓΑΙΟΥ - ΠΑΡΟΥ</v>
      </c>
      <c r="N264" s="203">
        <f t="shared" si="33"/>
        <v>14366</v>
      </c>
      <c r="O264" s="203" t="str">
        <f t="shared" si="34"/>
        <v>Πάρου</v>
      </c>
    </row>
    <row r="265" spans="1:15" x14ac:dyDescent="0.25">
      <c r="A265" s="205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31" t="s">
        <v>838</v>
      </c>
      <c r="G265" s="231">
        <v>14368</v>
      </c>
      <c r="H265" t="str">
        <f>IFERROR(INDEX(DimosNaiOxi,MATCH(ΤΚ!E265,DimosNai,0)),"")</f>
        <v/>
      </c>
      <c r="I265" t="str">
        <f>LOOKUP(B265,ΠΕΡΙΦΕΡΕΙΑ!$A$2:$A$14,ΠΕΡΙΦΕΡΕΙΑ!$B$2:$B$14)</f>
        <v>Ολική</v>
      </c>
      <c r="J265">
        <f t="shared" si="32"/>
        <v>264</v>
      </c>
      <c r="K265" s="205">
        <f t="shared" si="29"/>
        <v>264</v>
      </c>
      <c r="L265" t="str">
        <f t="shared" si="30"/>
        <v>ΝΟΤΙΟΥ ΑΙΓΑΙΟΥ</v>
      </c>
      <c r="M265" t="str">
        <f t="shared" si="31"/>
        <v>ΝΟΤΙΟΥ ΑΙΓΑΙΟΥ - ΠΑΤΜΟΥ</v>
      </c>
      <c r="N265" s="203">
        <f t="shared" si="33"/>
        <v>14368</v>
      </c>
      <c r="O265" s="203" t="str">
        <f t="shared" si="34"/>
        <v>Πάτμου</v>
      </c>
    </row>
    <row r="266" spans="1:15" x14ac:dyDescent="0.25">
      <c r="A266" s="205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31" t="s">
        <v>839</v>
      </c>
      <c r="G266" s="231">
        <v>14432</v>
      </c>
      <c r="H266" t="str">
        <f>IFERROR(INDEX(DimosNaiOxi,MATCH(ΤΚ!E266,DimosNai,0)),"")</f>
        <v/>
      </c>
      <c r="I266" t="str">
        <f>LOOKUP(B266,ΠΕΡΙΦΕΡΕΙΑ!$A$2:$A$14,ΠΕΡΙΦΕΡΕΙΑ!$B$2:$B$14)</f>
        <v>Ολική</v>
      </c>
      <c r="J266">
        <f t="shared" si="32"/>
        <v>265</v>
      </c>
      <c r="K266" s="205">
        <f t="shared" si="29"/>
        <v>265</v>
      </c>
      <c r="L266" t="str">
        <f t="shared" si="30"/>
        <v>ΝΟΤΙΟΥ ΑΙΓΑΙΟΥ</v>
      </c>
      <c r="M266" t="str">
        <f t="shared" si="31"/>
        <v>ΝΟΤΙΟΥ ΑΙΓΑΙΟΥ - ΡΟΔΟΥ</v>
      </c>
      <c r="N266" s="203">
        <f t="shared" si="33"/>
        <v>14432</v>
      </c>
      <c r="O266" s="203" t="str">
        <f t="shared" si="34"/>
        <v>Ρόδου</v>
      </c>
    </row>
    <row r="267" spans="1:15" x14ac:dyDescent="0.25">
      <c r="A267" s="205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31" t="s">
        <v>840</v>
      </c>
      <c r="G267" s="231">
        <v>14452</v>
      </c>
      <c r="H267" t="str">
        <f>IFERROR(INDEX(DimosNaiOxi,MATCH(ΤΚ!E267,DimosNai,0)),"")</f>
        <v/>
      </c>
      <c r="I267" t="str">
        <f>LOOKUP(B267,ΠΕΡΙΦΕΡΕΙΑ!$A$2:$A$14,ΠΕΡΙΦΕΡΕΙΑ!$B$2:$B$14)</f>
        <v>Ολική</v>
      </c>
      <c r="J267">
        <f t="shared" si="32"/>
        <v>266</v>
      </c>
      <c r="K267" s="205">
        <f t="shared" si="29"/>
        <v>266</v>
      </c>
      <c r="L267" t="str">
        <f t="shared" si="30"/>
        <v>ΝΟΤΙΟΥ ΑΙΓΑΙΟΥ</v>
      </c>
      <c r="M267" t="str">
        <f t="shared" si="31"/>
        <v>ΝΟΤΙΟΥ ΑΙΓΑΙΟΥ - ΣΕΡΙΦΟΥ</v>
      </c>
      <c r="N267" s="203">
        <f t="shared" si="33"/>
        <v>14452</v>
      </c>
      <c r="O267" s="203" t="str">
        <f t="shared" si="34"/>
        <v>Σερίφου</v>
      </c>
    </row>
    <row r="268" spans="1:15" x14ac:dyDescent="0.25">
      <c r="A268" s="205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31" t="s">
        <v>841</v>
      </c>
      <c r="G268" s="231">
        <v>14462</v>
      </c>
      <c r="H268" t="str">
        <f>IFERROR(INDEX(DimosNaiOxi,MATCH(ΤΚ!E268,DimosNai,0)),"")</f>
        <v/>
      </c>
      <c r="I268" t="str">
        <f>LOOKUP(B268,ΠΕΡΙΦΕΡΕΙΑ!$A$2:$A$14,ΠΕΡΙΦΕΡΕΙΑ!$B$2:$B$14)</f>
        <v>Ολική</v>
      </c>
      <c r="J268">
        <f t="shared" si="32"/>
        <v>267</v>
      </c>
      <c r="K268" s="205">
        <f t="shared" si="29"/>
        <v>267</v>
      </c>
      <c r="L268" t="str">
        <f t="shared" si="30"/>
        <v>ΝΟΤΙΟΥ ΑΙΓΑΙΟΥ</v>
      </c>
      <c r="M268" t="str">
        <f t="shared" si="31"/>
        <v>ΝΟΤΙΟΥ ΑΙΓΑΙΟΥ - ΣΙΚΙΝΟΥ</v>
      </c>
      <c r="N268" s="203">
        <f t="shared" si="33"/>
        <v>14462</v>
      </c>
      <c r="O268" s="203" t="str">
        <f t="shared" si="34"/>
        <v>Σικίνου</v>
      </c>
    </row>
    <row r="269" spans="1:15" x14ac:dyDescent="0.25">
      <c r="A269" s="205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31" t="s">
        <v>842</v>
      </c>
      <c r="G269" s="231">
        <v>14440</v>
      </c>
      <c r="H269" t="str">
        <f>IFERROR(INDEX(DimosNaiOxi,MATCH(ΤΚ!E269,DimosNai,0)),"")</f>
        <v/>
      </c>
      <c r="I269" t="str">
        <f>LOOKUP(B269,ΠΕΡΙΦΕΡΕΙΑ!$A$2:$A$14,ΠΕΡΙΦΕΡΕΙΑ!$B$2:$B$14)</f>
        <v>Ολική</v>
      </c>
      <c r="J269">
        <f t="shared" si="32"/>
        <v>268</v>
      </c>
      <c r="K269" s="205">
        <f t="shared" si="29"/>
        <v>268</v>
      </c>
      <c r="L269" t="str">
        <f t="shared" si="30"/>
        <v>ΝΟΤΙΟΥ ΑΙΓΑΙΟΥ</v>
      </c>
      <c r="M269" t="str">
        <f t="shared" si="31"/>
        <v>ΝΟΤΙΟΥ ΑΙΓΑΙΟΥ - ΣΙΦΝΟΥ</v>
      </c>
      <c r="N269" s="203">
        <f t="shared" si="33"/>
        <v>14440</v>
      </c>
      <c r="O269" s="203" t="str">
        <f t="shared" si="34"/>
        <v>Σίφνου</v>
      </c>
    </row>
    <row r="270" spans="1:15" x14ac:dyDescent="0.25">
      <c r="A270" s="205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31" t="s">
        <v>843</v>
      </c>
      <c r="G270" s="231">
        <v>14442</v>
      </c>
      <c r="H270" t="str">
        <f>IFERROR(INDEX(DimosNaiOxi,MATCH(ΤΚ!E270,DimosNai,0)),"")</f>
        <v/>
      </c>
      <c r="I270" t="str">
        <f>LOOKUP(B270,ΠΕΡΙΦΕΡΕΙΑ!$A$2:$A$14,ΠΕΡΙΦΕΡΕΙΑ!$B$2:$B$14)</f>
        <v>Ολική</v>
      </c>
      <c r="J270">
        <f t="shared" si="32"/>
        <v>269</v>
      </c>
      <c r="K270" s="205">
        <f t="shared" si="29"/>
        <v>269</v>
      </c>
      <c r="L270" t="str">
        <f t="shared" si="30"/>
        <v>ΝΟΤΙΟΥ ΑΙΓΑΙΟΥ</v>
      </c>
      <c r="M270" t="str">
        <f t="shared" si="31"/>
        <v>ΝΟΤΙΟΥ ΑΙΓΑΙΟΥ - ΣΥΜΗΣ</v>
      </c>
      <c r="N270" s="203">
        <f t="shared" si="33"/>
        <v>14442</v>
      </c>
      <c r="O270" s="203" t="str">
        <f t="shared" si="34"/>
        <v>Σύμης</v>
      </c>
    </row>
    <row r="271" spans="1:15" x14ac:dyDescent="0.25">
      <c r="A271" s="205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31" t="s">
        <v>844</v>
      </c>
      <c r="G271" s="231">
        <v>14444</v>
      </c>
      <c r="H271" t="str">
        <f>IFERROR(INDEX(DimosNaiOxi,MATCH(ΤΚ!E271,DimosNai,0)),"")</f>
        <v/>
      </c>
      <c r="I271" t="str">
        <f>LOOKUP(B271,ΠΕΡΙΦΕΡΕΙΑ!$A$2:$A$14,ΠΕΡΙΦΕΡΕΙΑ!$B$2:$B$14)</f>
        <v>Ολική</v>
      </c>
      <c r="J271">
        <f t="shared" si="32"/>
        <v>270</v>
      </c>
      <c r="K271" s="205">
        <f t="shared" si="29"/>
        <v>270</v>
      </c>
      <c r="L271" t="str">
        <f t="shared" si="30"/>
        <v>ΝΟΤΙΟΥ ΑΙΓΑΙΟΥ</v>
      </c>
      <c r="M271" t="str">
        <f t="shared" si="31"/>
        <v>ΝΟΤΙΟΥ ΑΙΓΑΙΟΥ - ΣΥΡΟΥ – ΕΡΜΟΥΠΟΛΗΣ</v>
      </c>
      <c r="N271" s="203">
        <f t="shared" si="33"/>
        <v>14444</v>
      </c>
      <c r="O271" s="203" t="str">
        <f t="shared" si="34"/>
        <v>Σύρου - Ερμούπολης</v>
      </c>
    </row>
    <row r="272" spans="1:15" x14ac:dyDescent="0.25">
      <c r="A272" s="205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31" t="s">
        <v>845</v>
      </c>
      <c r="G272" s="231">
        <v>14492</v>
      </c>
      <c r="H272" t="str">
        <f>IFERROR(INDEX(DimosNaiOxi,MATCH(ΤΚ!E272,DimosNai,0)),"")</f>
        <v/>
      </c>
      <c r="I272" t="str">
        <f>LOOKUP(B272,ΠΕΡΙΦΕΡΕΙΑ!$A$2:$A$14,ΠΕΡΙΦΕΡΕΙΑ!$B$2:$B$14)</f>
        <v>Ολική</v>
      </c>
      <c r="J272">
        <f t="shared" si="32"/>
        <v>271</v>
      </c>
      <c r="K272" s="205">
        <f t="shared" si="29"/>
        <v>271</v>
      </c>
      <c r="L272" t="str">
        <f t="shared" si="30"/>
        <v>ΝΟΤΙΟΥ ΑΙΓΑΙΟΥ</v>
      </c>
      <c r="M272" t="str">
        <f t="shared" si="31"/>
        <v>ΝΟΤΙΟΥ ΑΙΓΑΙΟΥ - ΤΗΛΟΥ</v>
      </c>
      <c r="N272" s="203">
        <f t="shared" si="33"/>
        <v>14492</v>
      </c>
      <c r="O272" s="203" t="str">
        <f t="shared" si="34"/>
        <v>Τήλου</v>
      </c>
    </row>
    <row r="273" spans="1:15" x14ac:dyDescent="0.25">
      <c r="A273" s="205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31" t="s">
        <v>846</v>
      </c>
      <c r="G273" s="231">
        <v>14494</v>
      </c>
      <c r="H273" t="str">
        <f>IFERROR(INDEX(DimosNaiOxi,MATCH(ΤΚ!E273,DimosNai,0)),"")</f>
        <v/>
      </c>
      <c r="I273" t="str">
        <f>LOOKUP(B273,ΠΕΡΙΦΕΡΕΙΑ!$A$2:$A$14,ΠΕΡΙΦΕΡΕΙΑ!$B$2:$B$14)</f>
        <v>Ολική</v>
      </c>
      <c r="J273">
        <f t="shared" si="32"/>
        <v>272</v>
      </c>
      <c r="K273" s="205">
        <f t="shared" si="29"/>
        <v>272</v>
      </c>
      <c r="L273" t="str">
        <f t="shared" si="30"/>
        <v>ΝΟΤΙΟΥ ΑΙΓΑΙΟΥ</v>
      </c>
      <c r="M273" t="str">
        <f t="shared" si="31"/>
        <v>ΝΟΤΙΟΥ ΑΙΓΑΙΟΥ - ΤΗΝΟΥ</v>
      </c>
      <c r="N273" s="203">
        <f t="shared" si="33"/>
        <v>14494</v>
      </c>
      <c r="O273" s="203" t="str">
        <f t="shared" si="34"/>
        <v>Τήνου</v>
      </c>
    </row>
    <row r="274" spans="1:15" x14ac:dyDescent="0.25">
      <c r="A274" s="205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31" t="s">
        <v>847</v>
      </c>
      <c r="G274" s="231">
        <v>14528</v>
      </c>
      <c r="H274" t="str">
        <f>IFERROR(INDEX(DimosNaiOxi,MATCH(ΤΚ!E274,DimosNai,0)),"")</f>
        <v/>
      </c>
      <c r="I274" t="str">
        <f>LOOKUP(B274,ΠΕΡΙΦΕΡΕΙΑ!$A$2:$A$14,ΠΕΡΙΦΕΡΕΙΑ!$B$2:$B$14)</f>
        <v>Ολική</v>
      </c>
      <c r="J274">
        <f t="shared" si="32"/>
        <v>273</v>
      </c>
      <c r="K274" s="205">
        <f t="shared" si="29"/>
        <v>273</v>
      </c>
      <c r="L274" t="str">
        <f t="shared" si="30"/>
        <v>ΝΟΤΙΟΥ ΑΙΓΑΙΟΥ</v>
      </c>
      <c r="M274" t="str">
        <f t="shared" si="31"/>
        <v>ΝΟΤΙΟΥ ΑΙΓΑΙΟΥ - ΦΟΛΕΓΑΝΔΡΟΥ</v>
      </c>
      <c r="N274" s="203">
        <f t="shared" si="33"/>
        <v>14528</v>
      </c>
      <c r="O274" s="203" t="str">
        <f t="shared" si="34"/>
        <v>Φολεγάνδρου</v>
      </c>
    </row>
    <row r="275" spans="1:15" x14ac:dyDescent="0.25">
      <c r="A275" s="205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31" t="s">
        <v>848</v>
      </c>
      <c r="G275" s="231">
        <v>14532</v>
      </c>
      <c r="H275" t="str">
        <f>IFERROR(INDEX(DimosNaiOxi,MATCH(ΤΚ!E275,DimosNai,0)),"")</f>
        <v/>
      </c>
      <c r="I275" t="str">
        <f>LOOKUP(B275,ΠΕΡΙΦΕΡΕΙΑ!$A$2:$A$14,ΠΕΡΙΦΕΡΕΙΑ!$B$2:$B$14)</f>
        <v>Ολική</v>
      </c>
      <c r="J275">
        <f t="shared" si="32"/>
        <v>274</v>
      </c>
      <c r="K275" s="205">
        <f t="shared" si="29"/>
        <v>274</v>
      </c>
      <c r="L275" t="str">
        <f t="shared" si="30"/>
        <v>ΝΟΤΙΟΥ ΑΙΓΑΙΟΥ</v>
      </c>
      <c r="M275" t="str">
        <f t="shared" si="31"/>
        <v>ΝΟΤΙΟΥ ΑΙΓΑΙΟΥ - ΧΑΛΚΗΣ</v>
      </c>
      <c r="N275" s="203">
        <f t="shared" si="33"/>
        <v>14532</v>
      </c>
      <c r="O275" s="203" t="str">
        <f t="shared" si="34"/>
        <v>Χάλκης</v>
      </c>
    </row>
    <row r="276" spans="1:15" x14ac:dyDescent="0.25">
      <c r="A276" s="205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31" t="s">
        <v>849</v>
      </c>
      <c r="G276" s="231">
        <v>13984</v>
      </c>
      <c r="H276" t="str">
        <f>IFERROR(INDEX(DimosNaiOxi,MATCH(ΤΚ!E276,DimosNai,0)),"")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205">
        <f t="shared" si="29"/>
        <v>275</v>
      </c>
      <c r="L276" t="str">
        <f t="shared" si="30"/>
        <v>ΠΕΛΟΠΟΝΝΗΣΟΥ</v>
      </c>
      <c r="M276" t="str">
        <f t="shared" si="31"/>
        <v>ΠΕΛΟΠΟΝΝΗΣΟΥ - ΑΝΑΤΟΛΙΚΗΣ ΜΑΝΗΣ</v>
      </c>
      <c r="N276" s="203">
        <f t="shared" si="33"/>
        <v>13984</v>
      </c>
      <c r="O276" s="203" t="str">
        <f t="shared" si="34"/>
        <v>Ανατολικής Μάνης</v>
      </c>
    </row>
    <row r="277" spans="1:15" x14ac:dyDescent="0.25">
      <c r="A277" s="205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31" t="s">
        <v>850</v>
      </c>
      <c r="G277" s="231">
        <v>13910</v>
      </c>
      <c r="H277" t="str">
        <f>IFERROR(INDEX(DimosNaiOxi,MATCH(ΤΚ!E277,DimosNai,0)),"")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205">
        <f t="shared" si="29"/>
        <v>276</v>
      </c>
      <c r="L277" t="str">
        <f t="shared" si="30"/>
        <v>ΠΕΛΟΠΟΝΝΗΣΟΥ</v>
      </c>
      <c r="M277" t="str">
        <f t="shared" si="31"/>
        <v>ΠΕΛΟΠΟΝΝΗΣΟΥ - ΑΡΓΟΥΣ – ΜΥΚΗΝΩΝ</v>
      </c>
      <c r="N277" s="203">
        <f t="shared" si="33"/>
        <v>13910</v>
      </c>
      <c r="O277" s="203" t="str">
        <f t="shared" si="34"/>
        <v>Άργους - Μυκηνών</v>
      </c>
    </row>
    <row r="278" spans="1:15" x14ac:dyDescent="0.25">
      <c r="A278" s="205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31" t="s">
        <v>851</v>
      </c>
      <c r="G278" s="231">
        <v>14016</v>
      </c>
      <c r="H278" t="str">
        <f>IFERROR(INDEX(DimosNaiOxi,MATCH(ΤΚ!E278,DimosNai,0)),"")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205">
        <f t="shared" si="29"/>
        <v>277</v>
      </c>
      <c r="L278" t="str">
        <f t="shared" si="30"/>
        <v>ΠΕΛΟΠΟΝΝΗΣΟΥ</v>
      </c>
      <c r="M278" t="str">
        <f t="shared" si="31"/>
        <v>ΠΕΛΟΠΟΝΝΗΣΟΥ - ΒΕΛΟΥ – ΒΟΧΑΣ</v>
      </c>
      <c r="N278" s="203">
        <f t="shared" si="33"/>
        <v>14016</v>
      </c>
      <c r="O278" s="203" t="str">
        <f t="shared" si="34"/>
        <v>Βέλου - Βόχας</v>
      </c>
    </row>
    <row r="279" spans="1:15" x14ac:dyDescent="0.25">
      <c r="A279" s="205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31" t="s">
        <v>852</v>
      </c>
      <c r="G279" s="231">
        <v>14024</v>
      </c>
      <c r="H279" t="str">
        <f>IFERROR(INDEX(DimosNaiOxi,MATCH(ΤΚ!E279,DimosNai,0)),"")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205">
        <f t="shared" si="29"/>
        <v>278</v>
      </c>
      <c r="L279" t="str">
        <f t="shared" si="30"/>
        <v>ΠΕΛΟΠΟΝΝΗΣΟΥ</v>
      </c>
      <c r="M279" t="str">
        <f t="shared" si="31"/>
        <v>ΠΕΛΟΠΟΝΝΗΣΟΥ - ΒΟΡΕΙΑΣ ΚΥΝΟΥΡΙΑΣ</v>
      </c>
      <c r="N279" s="203">
        <f t="shared" si="33"/>
        <v>14024</v>
      </c>
      <c r="O279" s="203" t="str">
        <f t="shared" si="34"/>
        <v>Βόρειας Κυνουρίας</v>
      </c>
    </row>
    <row r="280" spans="1:15" x14ac:dyDescent="0.25">
      <c r="A280" s="205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31" t="s">
        <v>853</v>
      </c>
      <c r="G280" s="231">
        <v>14048</v>
      </c>
      <c r="H280" t="str">
        <f>IFERROR(INDEX(DimosNaiOxi,MATCH(ΤΚ!E280,DimosNai,0)),"")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205">
        <f t="shared" si="29"/>
        <v>279</v>
      </c>
      <c r="L280" t="str">
        <f t="shared" si="30"/>
        <v>ΠΕΛΟΠΟΝΝΗΣΟΥ</v>
      </c>
      <c r="M280" t="str">
        <f t="shared" si="31"/>
        <v>ΠΕΛΟΠΟΝΝΗΣΟΥ - ΓΟΡΤΥΝΙΑΣ</v>
      </c>
      <c r="N280" s="203">
        <f t="shared" si="33"/>
        <v>14048</v>
      </c>
      <c r="O280" s="203" t="str">
        <f t="shared" si="34"/>
        <v>Γορτυνίας</v>
      </c>
    </row>
    <row r="281" spans="1:15" x14ac:dyDescent="0.25">
      <c r="A281" s="205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31" t="s">
        <v>854</v>
      </c>
      <c r="G281" s="231">
        <v>14078</v>
      </c>
      <c r="H281" t="str">
        <f>IFERROR(INDEX(DimosNaiOxi,MATCH(ΤΚ!E281,DimosNai,0)),"")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205">
        <f t="shared" si="29"/>
        <v>280</v>
      </c>
      <c r="L281" t="str">
        <f t="shared" si="30"/>
        <v>ΠΕΛΟΠΟΝΝΗΣΟΥ</v>
      </c>
      <c r="M281" t="str">
        <f t="shared" si="31"/>
        <v>ΠΕΛΟΠΟΝΝΗΣΟΥ - ΔΥΤΙΚΗΣ ΜΑΝΗΣ</v>
      </c>
      <c r="N281" s="203">
        <f t="shared" si="33"/>
        <v>14078</v>
      </c>
      <c r="O281" s="203" t="str">
        <f t="shared" si="34"/>
        <v>Δυτικής Μάνης</v>
      </c>
    </row>
    <row r="282" spans="1:15" x14ac:dyDescent="0.25">
      <c r="A282" s="205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31" t="s">
        <v>855</v>
      </c>
      <c r="G282" s="231">
        <v>14086</v>
      </c>
      <c r="H282" t="str">
        <f>IFERROR(INDEX(DimosNaiOxi,MATCH(ΤΚ!E282,DimosNai,0)),"")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205">
        <f t="shared" si="29"/>
        <v>281</v>
      </c>
      <c r="L282" t="str">
        <f t="shared" si="30"/>
        <v>ΠΕΛΟΠΟΝΝΗΣΟΥ</v>
      </c>
      <c r="M282" t="str">
        <f t="shared" si="31"/>
        <v>ΠΕΛΟΠΟΝΝΗΣΟΥ - ΕΛΑΦΟΝΗΣΟΥ</v>
      </c>
      <c r="N282" s="203">
        <f t="shared" si="33"/>
        <v>14086</v>
      </c>
      <c r="O282" s="203" t="str">
        <f t="shared" si="34"/>
        <v>Ελαφονήσου</v>
      </c>
    </row>
    <row r="283" spans="1:15" x14ac:dyDescent="0.25">
      <c r="A283" s="205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31" t="s">
        <v>856</v>
      </c>
      <c r="G283" s="231">
        <v>14096</v>
      </c>
      <c r="H283" t="str">
        <f>IFERROR(INDEX(DimosNaiOxi,MATCH(ΤΚ!E283,DimosNai,0)),"")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205">
        <f t="shared" si="29"/>
        <v>282</v>
      </c>
      <c r="L283" t="str">
        <f t="shared" si="30"/>
        <v>ΠΕΛΟΠΟΝΝΗΣΟΥ</v>
      </c>
      <c r="M283" t="str">
        <f t="shared" si="31"/>
        <v>ΠΕΛΟΠΟΝΝΗΣΟΥ - ΕΠΙΔΑΥΡΟΥ</v>
      </c>
      <c r="N283" s="203">
        <f t="shared" si="33"/>
        <v>14096</v>
      </c>
      <c r="O283" s="203" t="str">
        <f t="shared" si="34"/>
        <v>Επιδαύρου</v>
      </c>
    </row>
    <row r="284" spans="1:15" x14ac:dyDescent="0.25">
      <c r="A284" s="205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31" t="s">
        <v>857</v>
      </c>
      <c r="G284" s="231">
        <v>14100</v>
      </c>
      <c r="H284" t="str">
        <f>IFERROR(INDEX(DimosNaiOxi,MATCH(ΤΚ!E284,DimosNai,0)),"")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205">
        <f t="shared" si="29"/>
        <v>283</v>
      </c>
      <c r="L284" t="str">
        <f t="shared" si="30"/>
        <v>ΠΕΛΟΠΟΝΝΗΣΟΥ</v>
      </c>
      <c r="M284" t="str">
        <f t="shared" si="31"/>
        <v>ΠΕΛΟΠΟΝΝΗΣΟΥ - ΕΡΜΙΟΝΙΔΑΣ</v>
      </c>
      <c r="N284" s="203">
        <f t="shared" si="33"/>
        <v>14100</v>
      </c>
      <c r="O284" s="203" t="str">
        <f t="shared" si="34"/>
        <v>Ερμιονίδας</v>
      </c>
    </row>
    <row r="285" spans="1:15" x14ac:dyDescent="0.25">
      <c r="A285" s="205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31" t="s">
        <v>858</v>
      </c>
      <c r="G285" s="231">
        <v>14104</v>
      </c>
      <c r="H285" t="str">
        <f>IFERROR(INDEX(DimosNaiOxi,MATCH(ΤΚ!E285,DimosNai,0)),"")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205">
        <f t="shared" si="29"/>
        <v>284</v>
      </c>
      <c r="L285" t="str">
        <f t="shared" si="30"/>
        <v>ΠΕΛΟΠΟΝΝΗΣΟΥ</v>
      </c>
      <c r="M285" t="str">
        <f t="shared" si="31"/>
        <v>ΠΕΛΟΠΟΝΝΗΣΟΥ - ΕΥΡΩΤΑ</v>
      </c>
      <c r="N285" s="203">
        <f t="shared" si="33"/>
        <v>14104</v>
      </c>
      <c r="O285" s="203" t="str">
        <f t="shared" si="34"/>
        <v>Ευρώτα</v>
      </c>
    </row>
    <row r="286" spans="1:15" x14ac:dyDescent="0.25">
      <c r="A286" s="205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31" t="s">
        <v>859</v>
      </c>
      <c r="G286" s="231">
        <v>14180</v>
      </c>
      <c r="H286" t="str">
        <f>IFERROR(INDEX(DimosNaiOxi,MATCH(ΤΚ!E286,DimosNai,0)),"")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205">
        <f t="shared" si="29"/>
        <v>285</v>
      </c>
      <c r="L286" t="str">
        <f t="shared" si="30"/>
        <v>ΠΕΛΟΠΟΝΝΗΣΟΥ</v>
      </c>
      <c r="M286" t="str">
        <f t="shared" si="31"/>
        <v>ΠΕΛΟΠΟΝΝΗΣΟΥ - ΚΑΛΑΜΑΤΑΣ</v>
      </c>
      <c r="N286" s="203">
        <f t="shared" si="33"/>
        <v>14180</v>
      </c>
      <c r="O286" s="203" t="str">
        <f t="shared" si="34"/>
        <v>Καλαμάτας</v>
      </c>
    </row>
    <row r="287" spans="1:15" x14ac:dyDescent="0.25">
      <c r="A287" s="205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31" t="s">
        <v>860</v>
      </c>
      <c r="G287" s="231">
        <v>14228</v>
      </c>
      <c r="H287" t="str">
        <f>IFERROR(INDEX(DimosNaiOxi,MATCH(ΤΚ!E287,DimosNai,0)),"")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205">
        <f t="shared" si="29"/>
        <v>286</v>
      </c>
      <c r="L287" t="str">
        <f t="shared" si="30"/>
        <v>ΠΕΛΟΠΟΝΝΗΣΟΥ</v>
      </c>
      <c r="M287" t="str">
        <f t="shared" si="31"/>
        <v>ΠΕΛΟΠΟΝΝΗΣΟΥ - ΚΟΡΙΝΘΙΩΝ</v>
      </c>
      <c r="N287" s="203">
        <f t="shared" si="33"/>
        <v>14228</v>
      </c>
      <c r="O287" s="203" t="str">
        <f t="shared" si="34"/>
        <v>Κορινθίων</v>
      </c>
    </row>
    <row r="288" spans="1:15" x14ac:dyDescent="0.25">
      <c r="A288" s="205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31" t="s">
        <v>861</v>
      </c>
      <c r="G288" s="231">
        <v>14262</v>
      </c>
      <c r="H288" t="str">
        <f>IFERROR(INDEX(DimosNaiOxi,MATCH(ΤΚ!E288,DimosNai,0)),"")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205">
        <f t="shared" si="29"/>
        <v>287</v>
      </c>
      <c r="L288" t="str">
        <f t="shared" si="30"/>
        <v>ΠΕΛΟΠΟΝΝΗΣΟΥ</v>
      </c>
      <c r="M288" t="str">
        <f t="shared" si="31"/>
        <v>ΠΕΛΟΠΟΝΝΗΣΟΥ - ΛΟΥΤΡΑΚΙΟΥ – ΑΓΙΩΝ ΘΕΟΔΩΡΩΝ</v>
      </c>
      <c r="N288" s="203">
        <f t="shared" si="33"/>
        <v>14262</v>
      </c>
      <c r="O288" s="203" t="str">
        <f t="shared" si="34"/>
        <v>Λουτρακίου - Αγ. Θεοδώρων</v>
      </c>
    </row>
    <row r="289" spans="1:15" x14ac:dyDescent="0.25">
      <c r="A289" s="205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31" t="s">
        <v>862</v>
      </c>
      <c r="G289" s="231">
        <v>14288</v>
      </c>
      <c r="H289" t="str">
        <f>IFERROR(INDEX(DimosNaiOxi,MATCH(ΤΚ!E289,DimosNai,0)),"")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205">
        <f t="shared" si="29"/>
        <v>288</v>
      </c>
      <c r="L289" t="str">
        <f t="shared" si="30"/>
        <v>ΠΕΛΟΠΟΝΝΗΣΟΥ</v>
      </c>
      <c r="M289" t="str">
        <f t="shared" si="31"/>
        <v>ΠΕΛΟΠΟΝΝΗΣΟΥ - ΜΕΓΑΛΟΠΟΛΗΣ</v>
      </c>
      <c r="N289" s="203">
        <f t="shared" si="33"/>
        <v>14288</v>
      </c>
      <c r="O289" s="203" t="str">
        <f t="shared" si="34"/>
        <v>Μεγαλόπολης</v>
      </c>
    </row>
    <row r="290" spans="1:15" x14ac:dyDescent="0.25">
      <c r="A290" s="205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31" t="s">
        <v>863</v>
      </c>
      <c r="G290" s="231">
        <v>14294</v>
      </c>
      <c r="H290" t="str">
        <f>IFERROR(INDEX(DimosNaiOxi,MATCH(ΤΚ!E290,DimosNai,0)),"")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205">
        <f t="shared" si="29"/>
        <v>289</v>
      </c>
      <c r="L290" t="str">
        <f t="shared" si="30"/>
        <v>ΠΕΛΟΠΟΝΝΗΣΟΥ</v>
      </c>
      <c r="M290" t="str">
        <f t="shared" si="31"/>
        <v>ΠΕΛΟΠΟΝΝΗΣΟΥ - ΜΕΣΣΗΝΗΣ</v>
      </c>
      <c r="N290" s="203">
        <f t="shared" si="33"/>
        <v>14294</v>
      </c>
      <c r="O290" s="203" t="str">
        <f t="shared" si="34"/>
        <v>Μεσσήνης</v>
      </c>
    </row>
    <row r="291" spans="1:15" x14ac:dyDescent="0.25">
      <c r="A291" s="205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31" t="s">
        <v>864</v>
      </c>
      <c r="G291" s="231">
        <v>14302</v>
      </c>
      <c r="H291" t="str">
        <f>IFERROR(INDEX(DimosNaiOxi,MATCH(ΤΚ!E291,DimosNai,0)),"")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205">
        <f t="shared" si="29"/>
        <v>290</v>
      </c>
      <c r="L291" t="str">
        <f t="shared" si="30"/>
        <v>ΠΕΛΟΠΟΝΝΗΣΟΥ</v>
      </c>
      <c r="M291" t="str">
        <f t="shared" si="31"/>
        <v>ΠΕΛΟΠΟΝΝΗΣΟΥ - ΜΟΝΕΜΒΑΣΙΑΣ</v>
      </c>
      <c r="N291" s="203">
        <f t="shared" si="33"/>
        <v>14302</v>
      </c>
      <c r="O291" s="203" t="str">
        <f t="shared" si="34"/>
        <v>Μονεμβασιάς</v>
      </c>
    </row>
    <row r="292" spans="1:15" x14ac:dyDescent="0.25">
      <c r="A292" s="205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31" t="s">
        <v>865</v>
      </c>
      <c r="G292" s="231">
        <v>14334</v>
      </c>
      <c r="H292" t="str">
        <f>IFERROR(INDEX(DimosNaiOxi,MATCH(ΤΚ!E292,DimosNai,0)),"")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205">
        <f t="shared" si="29"/>
        <v>291</v>
      </c>
      <c r="L292" t="str">
        <f t="shared" si="30"/>
        <v>ΠΕΛΟΠΟΝΝΗΣΟΥ</v>
      </c>
      <c r="M292" t="str">
        <f t="shared" si="31"/>
        <v>ΠΕΛΟΠΟΝΝΗΣΟΥ - ΝΑΥΠΛΙΕΩΝ</v>
      </c>
      <c r="N292" s="203">
        <f t="shared" si="33"/>
        <v>14334</v>
      </c>
      <c r="O292" s="203" t="str">
        <f t="shared" si="34"/>
        <v>Ναυπλιέων</v>
      </c>
    </row>
    <row r="293" spans="1:15" x14ac:dyDescent="0.25">
      <c r="A293" s="205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31" t="s">
        <v>866</v>
      </c>
      <c r="G293" s="231">
        <v>14336</v>
      </c>
      <c r="H293" t="str">
        <f>IFERROR(INDEX(DimosNaiOxi,MATCH(ΤΚ!E293,DimosNai,0)),"")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205">
        <f t="shared" si="29"/>
        <v>292</v>
      </c>
      <c r="L293" t="str">
        <f t="shared" si="30"/>
        <v>ΠΕΛΟΠΟΝΝΗΣΟΥ</v>
      </c>
      <c r="M293" t="str">
        <f t="shared" si="31"/>
        <v>ΠΕΛΟΠΟΝΝΗΣΟΥ - ΝΕΜΕΑΣ</v>
      </c>
      <c r="N293" s="203">
        <f t="shared" si="33"/>
        <v>14336</v>
      </c>
      <c r="O293" s="203" t="str">
        <f t="shared" si="34"/>
        <v>Νεμέας</v>
      </c>
    </row>
    <row r="294" spans="1:15" x14ac:dyDescent="0.25">
      <c r="A294" s="205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31" t="s">
        <v>867</v>
      </c>
      <c r="G294" s="231">
        <v>14330</v>
      </c>
      <c r="H294" t="str">
        <f>IFERROR(INDEX(DimosNaiOxi,MATCH(ΤΚ!E294,DimosNai,0)),"")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205">
        <f t="shared" si="29"/>
        <v>293</v>
      </c>
      <c r="L294" t="str">
        <f t="shared" si="30"/>
        <v>ΠΕΛΟΠΟΝΝΗΣΟΥ</v>
      </c>
      <c r="M294" t="str">
        <f t="shared" si="31"/>
        <v>ΠΕΛΟΠΟΝΝΗΣΟΥ - ΝΟΤΙΑΣ ΚΥΝΟΥΡΙΑΣ</v>
      </c>
      <c r="N294" s="203">
        <f t="shared" si="33"/>
        <v>14330</v>
      </c>
      <c r="O294" s="203" t="str">
        <f t="shared" si="34"/>
        <v>Νότιας Κυνουρίας</v>
      </c>
    </row>
    <row r="295" spans="1:15" x14ac:dyDescent="0.25">
      <c r="A295" s="205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31" t="s">
        <v>868</v>
      </c>
      <c r="G295" s="231">
        <v>14350</v>
      </c>
      <c r="H295" t="str">
        <f>IFERROR(INDEX(DimosNaiOxi,MATCH(ΤΚ!E295,DimosNai,0)),"")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205">
        <f t="shared" si="29"/>
        <v>294</v>
      </c>
      <c r="L295" t="str">
        <f t="shared" si="30"/>
        <v>ΠΕΛΟΠΟΝΝΗΣΟΥ</v>
      </c>
      <c r="M295" t="str">
        <f t="shared" si="31"/>
        <v>ΠΕΛΟΠΟΝΝΗΣΟΥ - ΞΥΛΟΚΑΣΤΡΟΥ – ΕΥΡΩΣΤΙΝΗΣ</v>
      </c>
      <c r="N295" s="203">
        <f t="shared" si="33"/>
        <v>14350</v>
      </c>
      <c r="O295" s="203" t="str">
        <f t="shared" si="34"/>
        <v>Ξυλοκάστρου - Ευρωστίνης</v>
      </c>
    </row>
    <row r="296" spans="1:15" x14ac:dyDescent="0.25">
      <c r="A296" s="205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31" t="s">
        <v>869</v>
      </c>
      <c r="G296" s="231">
        <v>14354</v>
      </c>
      <c r="H296" t="str">
        <f>IFERROR(INDEX(DimosNaiOxi,MATCH(ΤΚ!E296,DimosNai,0)),"")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205">
        <f t="shared" si="29"/>
        <v>295</v>
      </c>
      <c r="L296" t="str">
        <f t="shared" si="30"/>
        <v>ΠΕΛΟΠΟΝΝΗΣΟΥ</v>
      </c>
      <c r="M296" t="str">
        <f t="shared" si="31"/>
        <v>ΠΕΛΟΠΟΝΝΗΣΟΥ - ΟΙΧΑΛΙΑΣ</v>
      </c>
      <c r="N296" s="203">
        <f t="shared" si="33"/>
        <v>14354</v>
      </c>
      <c r="O296" s="203" t="str">
        <f t="shared" si="34"/>
        <v>Οιχαλίας</v>
      </c>
    </row>
    <row r="297" spans="1:15" x14ac:dyDescent="0.25">
      <c r="A297" s="205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31" t="s">
        <v>870</v>
      </c>
      <c r="G297" s="231">
        <v>14378</v>
      </c>
      <c r="H297" t="str">
        <f>IFERROR(INDEX(DimosNaiOxi,MATCH(ΤΚ!E297,DimosNai,0)),"")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205">
        <f t="shared" si="29"/>
        <v>296</v>
      </c>
      <c r="L297" t="str">
        <f t="shared" si="30"/>
        <v>ΠΕΛΟΠΟΝΝΗΣΟΥ</v>
      </c>
      <c r="M297" t="str">
        <f t="shared" si="31"/>
        <v>ΠΕΛΟΠΟΝΝΗΣΟΥ - ΠΥΛΟΥ – ΝΕΣΤΟΡΟΣ</v>
      </c>
      <c r="N297" s="203">
        <f t="shared" si="33"/>
        <v>14378</v>
      </c>
      <c r="O297" s="203" t="str">
        <f t="shared" si="34"/>
        <v>Πύλου - Νέστορος</v>
      </c>
    </row>
    <row r="298" spans="1:15" x14ac:dyDescent="0.25">
      <c r="A298" s="205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31" t="s">
        <v>871</v>
      </c>
      <c r="G298" s="231">
        <v>14464</v>
      </c>
      <c r="H298" t="str">
        <f>IFERROR(INDEX(DimosNaiOxi,MATCH(ΤΚ!E298,DimosNai,0)),"")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205">
        <f t="shared" si="29"/>
        <v>297</v>
      </c>
      <c r="L298" t="str">
        <f t="shared" si="30"/>
        <v>ΠΕΛΟΠΟΝΝΗΣΟΥ</v>
      </c>
      <c r="M298" t="str">
        <f t="shared" si="31"/>
        <v>ΠΕΛΟΠΟΝΝΗΣΟΥ - ΣΙΚΥΩΝΙΩΝ</v>
      </c>
      <c r="N298" s="203">
        <f t="shared" si="33"/>
        <v>14464</v>
      </c>
      <c r="O298" s="203" t="str">
        <f t="shared" si="34"/>
        <v>Σικυωνίων</v>
      </c>
    </row>
    <row r="299" spans="1:15" x14ac:dyDescent="0.25">
      <c r="A299" s="205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31" t="s">
        <v>872</v>
      </c>
      <c r="G299" s="231">
        <v>14482</v>
      </c>
      <c r="H299" t="str">
        <f>IFERROR(INDEX(DimosNaiOxi,MATCH(ΤΚ!E299,DimosNai,0)),"")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205">
        <f t="shared" si="29"/>
        <v>298</v>
      </c>
      <c r="L299" t="str">
        <f t="shared" si="30"/>
        <v>ΠΕΛΟΠΟΝΝΗΣΟΥ</v>
      </c>
      <c r="M299" t="str">
        <f t="shared" si="31"/>
        <v>ΠΕΛΟΠΟΝΝΗΣΟΥ - ΣΠΑΡΤΗΣ</v>
      </c>
      <c r="N299" s="203">
        <f t="shared" si="33"/>
        <v>14482</v>
      </c>
      <c r="O299" s="203" t="str">
        <f t="shared" si="34"/>
        <v>Σπάρτης</v>
      </c>
    </row>
    <row r="300" spans="1:15" x14ac:dyDescent="0.25">
      <c r="A300" s="205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31" t="s">
        <v>873</v>
      </c>
      <c r="G300" s="231">
        <v>14502</v>
      </c>
      <c r="H300" t="str">
        <f>IFERROR(INDEX(DimosNaiOxi,MATCH(ΤΚ!E300,DimosNai,0)),"")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205">
        <f t="shared" si="29"/>
        <v>299</v>
      </c>
      <c r="L300" t="str">
        <f t="shared" si="30"/>
        <v>ΠΕΛΟΠΟΝΝΗΣΟΥ</v>
      </c>
      <c r="M300" t="str">
        <f t="shared" si="31"/>
        <v>ΠΕΛΟΠΟΝΝΗΣΟΥ - ΤΡΙΠΟΛΗΣ</v>
      </c>
      <c r="N300" s="203">
        <f t="shared" si="33"/>
        <v>14502</v>
      </c>
      <c r="O300" s="203" t="str">
        <f t="shared" si="34"/>
        <v>Τρίπολης</v>
      </c>
    </row>
    <row r="301" spans="1:15" x14ac:dyDescent="0.25">
      <c r="A301" s="205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31" t="s">
        <v>874</v>
      </c>
      <c r="G301" s="231">
        <v>14506</v>
      </c>
      <c r="H301" t="str">
        <f>IFERROR(INDEX(DimosNaiOxi,MATCH(ΤΚ!E301,DimosNai,0)),"")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205">
        <f t="shared" si="29"/>
        <v>300</v>
      </c>
      <c r="L301" t="str">
        <f t="shared" si="30"/>
        <v>ΠΕΛΟΠΟΝΝΗΣΟΥ</v>
      </c>
      <c r="M301" t="str">
        <f t="shared" si="31"/>
        <v>ΠΕΛΟΠΟΝΝΗΣΟΥ - ΤΡΙΦΥΛΙΑΣ</v>
      </c>
      <c r="N301" s="203">
        <f t="shared" si="33"/>
        <v>14506</v>
      </c>
      <c r="O301" s="203" t="str">
        <f t="shared" si="34"/>
        <v>Τριφυλίας</v>
      </c>
    </row>
    <row r="302" spans="1:15" x14ac:dyDescent="0.25">
      <c r="A302" s="205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31" t="s">
        <v>875</v>
      </c>
      <c r="G302" s="231">
        <v>13942</v>
      </c>
      <c r="H302" t="str">
        <f>IFERROR(INDEX(DimosNaiOxi,MATCH(ΤΚ!E302,DimosNai,0)),"")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205">
        <f t="shared" si="29"/>
        <v>301</v>
      </c>
      <c r="L302" t="str">
        <f t="shared" si="30"/>
        <v>ΣΤΕΡΕΑΣ ΕΛΛΑΔΑΣ</v>
      </c>
      <c r="M302" t="str">
        <f t="shared" si="31"/>
        <v>ΣΤΕΡΕΑΣ ΕΛΛΑΔΑΣ - ΑΓΡΑΦΩΝ</v>
      </c>
      <c r="N302" s="203">
        <f t="shared" si="33"/>
        <v>13942</v>
      </c>
      <c r="O302" s="203" t="str">
        <f t="shared" si="34"/>
        <v>Αγράφων</v>
      </c>
    </row>
    <row r="303" spans="1:15" x14ac:dyDescent="0.25">
      <c r="A303" s="205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31" t="s">
        <v>876</v>
      </c>
      <c r="G303" s="231">
        <v>13958</v>
      </c>
      <c r="H303" t="str">
        <f>IFERROR(INDEX(DimosNaiOxi,MATCH(ΤΚ!E303,DimosNai,0)),"")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205">
        <f t="shared" si="29"/>
        <v>302</v>
      </c>
      <c r="L303" t="str">
        <f t="shared" si="30"/>
        <v>ΣΤΕΡΕΑΣ ΕΛΛΑΔΑΣ</v>
      </c>
      <c r="M303" t="str">
        <f t="shared" si="31"/>
        <v>ΣΤΕΡΕΑΣ ΕΛΛΑΔΑΣ - ΑΛΙΑΡΤΟΥ</v>
      </c>
      <c r="N303" s="203">
        <f t="shared" si="33"/>
        <v>13958</v>
      </c>
      <c r="O303" s="203" t="str">
        <f t="shared" si="34"/>
        <v>Αλιάρτου</v>
      </c>
    </row>
    <row r="304" spans="1:15" x14ac:dyDescent="0.25">
      <c r="A304" s="205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31" t="s">
        <v>877</v>
      </c>
      <c r="G304" s="231">
        <v>13976</v>
      </c>
      <c r="H304" t="str">
        <f>IFERROR(INDEX(DimosNaiOxi,MATCH(ΤΚ!E304,DimosNai,0)),"")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205">
        <f t="shared" si="29"/>
        <v>303</v>
      </c>
      <c r="L304" t="str">
        <f t="shared" si="30"/>
        <v>ΣΤΕΡΕΑΣ ΕΛΛΑΔΑΣ</v>
      </c>
      <c r="M304" t="str">
        <f t="shared" si="31"/>
        <v>ΣΤΕΡΕΑΣ ΕΛΛΑΔΑΣ - ΑΜΦΙΚΛΕΙΑΣ – ΕΛΑΤΕΙΑΣ</v>
      </c>
      <c r="N304" s="203">
        <f t="shared" si="33"/>
        <v>13976</v>
      </c>
      <c r="O304" s="203" t="str">
        <f t="shared" si="34"/>
        <v>Αμφίκλειας - Ελάτειας</v>
      </c>
    </row>
    <row r="305" spans="1:15" x14ac:dyDescent="0.25">
      <c r="A305" s="205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31" t="s">
        <v>878</v>
      </c>
      <c r="G305" s="231">
        <v>14058</v>
      </c>
      <c r="H305" t="str">
        <f>IFERROR(INDEX(DimosNaiOxi,MATCH(ΤΚ!E305,DimosNai,0)),"")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205">
        <f t="shared" si="29"/>
        <v>304</v>
      </c>
      <c r="L305" t="str">
        <f t="shared" si="30"/>
        <v>ΣΤΕΡΕΑΣ ΕΛΛΑΔΑΣ</v>
      </c>
      <c r="M305" t="str">
        <f t="shared" si="31"/>
        <v>ΣΤΕΡΕΑΣ ΕΛΛΑΔΑΣ - ΔΕΛΦΩΝ</v>
      </c>
      <c r="N305" s="203">
        <f t="shared" si="33"/>
        <v>14058</v>
      </c>
      <c r="O305" s="203" t="str">
        <f t="shared" si="34"/>
        <v>Δελφών</v>
      </c>
    </row>
    <row r="306" spans="1:15" x14ac:dyDescent="0.25">
      <c r="A306" s="205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31" t="s">
        <v>879</v>
      </c>
      <c r="G306" s="231">
        <v>14066</v>
      </c>
      <c r="H306" t="str">
        <f>IFERROR(INDEX(DimosNaiOxi,MATCH(ΤΚ!E306,DimosNai,0)),"")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205">
        <f t="shared" si="29"/>
        <v>305</v>
      </c>
      <c r="L306" t="str">
        <f t="shared" si="30"/>
        <v>ΣΤΕΡΕΑΣ ΕΛΛΑΔΑΣ</v>
      </c>
      <c r="M306" t="str">
        <f t="shared" si="31"/>
        <v>ΣΤΕΡΕΑΣ ΕΛΛΑΔΑΣ - ΔΙΡΦΥΩΝ – ΜΕΣΣΑΠΙΩΝ</v>
      </c>
      <c r="N306" s="203">
        <f t="shared" si="33"/>
        <v>14066</v>
      </c>
      <c r="O306" s="203" t="str">
        <f t="shared" si="34"/>
        <v>Διρφύων - Μεσσαπίων</v>
      </c>
    </row>
    <row r="307" spans="1:15" x14ac:dyDescent="0.25">
      <c r="A307" s="205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31" t="s">
        <v>880</v>
      </c>
      <c r="G307" s="231">
        <v>14068</v>
      </c>
      <c r="H307" t="str">
        <f>IFERROR(INDEX(DimosNaiOxi,MATCH(ΤΚ!E307,DimosNai,0)),"")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205">
        <f t="shared" si="29"/>
        <v>306</v>
      </c>
      <c r="L307" t="str">
        <f t="shared" si="30"/>
        <v>ΣΤΕΡΕΑΣ ΕΛΛΑΔΑΣ</v>
      </c>
      <c r="M307" t="str">
        <f t="shared" si="31"/>
        <v>ΣΤΕΡΕΑΣ ΕΛΛΑΔΑΣ - ΔΙΣΤΟΜΟΥ – ΑΡΑΧΟΒΑΣ – ΑΝΤΙΚΥΡΑΣ</v>
      </c>
      <c r="N307" s="203">
        <f t="shared" si="33"/>
        <v>14068</v>
      </c>
      <c r="O307" s="203" t="str">
        <f t="shared" si="34"/>
        <v>Διστόμου-Αράχοβας - Αντίκυρας</v>
      </c>
    </row>
    <row r="308" spans="1:15" x14ac:dyDescent="0.25">
      <c r="A308" s="205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31" t="s">
        <v>881</v>
      </c>
      <c r="G308" s="231">
        <v>14070</v>
      </c>
      <c r="H308" t="str">
        <f>IFERROR(INDEX(DimosNaiOxi,MATCH(ΤΚ!E308,DimosNai,0)),"")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205">
        <f t="shared" si="29"/>
        <v>307</v>
      </c>
      <c r="L308" t="str">
        <f t="shared" si="30"/>
        <v>ΣΤΕΡΕΑΣ ΕΛΛΑΔΑΣ</v>
      </c>
      <c r="M308" t="str">
        <f t="shared" si="31"/>
        <v>ΣΤΕΡΕΑΣ ΕΛΛΑΔΑΣ - ΔΟΜΟΚΟΥ</v>
      </c>
      <c r="N308" s="203">
        <f t="shared" si="33"/>
        <v>14070</v>
      </c>
      <c r="O308" s="203" t="str">
        <f t="shared" si="34"/>
        <v>Δομοκού</v>
      </c>
    </row>
    <row r="309" spans="1:15" x14ac:dyDescent="0.25">
      <c r="A309" s="205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31" t="s">
        <v>882</v>
      </c>
      <c r="G309" s="231">
        <v>14082</v>
      </c>
      <c r="H309" t="str">
        <f>IFERROR(INDEX(DimosNaiOxi,MATCH(ΤΚ!E309,DimosNai,0)),"")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205">
        <f t="shared" si="29"/>
        <v>308</v>
      </c>
      <c r="L309" t="str">
        <f t="shared" si="30"/>
        <v>ΣΤΕΡΕΑΣ ΕΛΛΑΔΑΣ</v>
      </c>
      <c r="M309" t="str">
        <f t="shared" si="31"/>
        <v>ΣΤΕΡΕΑΣ ΕΛΛΑΔΑΣ - ΔΩΡΙΔΟΣ</v>
      </c>
      <c r="N309" s="203">
        <f t="shared" si="33"/>
        <v>14082</v>
      </c>
      <c r="O309" s="203" t="str">
        <f t="shared" si="34"/>
        <v>Δωρίδος</v>
      </c>
    </row>
    <row r="310" spans="1:15" x14ac:dyDescent="0.25">
      <c r="A310" s="205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31" t="s">
        <v>883</v>
      </c>
      <c r="G310" s="231">
        <v>14098</v>
      </c>
      <c r="H310" t="str">
        <f>IFERROR(INDEX(DimosNaiOxi,MATCH(ΤΚ!E310,DimosNai,0)),"")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205">
        <f t="shared" si="29"/>
        <v>309</v>
      </c>
      <c r="L310" t="str">
        <f t="shared" si="30"/>
        <v>ΣΤΕΡΕΑΣ ΕΛΛΑΔΑΣ</v>
      </c>
      <c r="M310" t="str">
        <f t="shared" si="31"/>
        <v>ΣΤΕΡΕΑΣ ΕΛΛΑΔΑΣ - ΕΡΕΤΡΙΑΣ</v>
      </c>
      <c r="N310" s="203">
        <f t="shared" si="33"/>
        <v>14098</v>
      </c>
      <c r="O310" s="203" t="str">
        <f t="shared" si="34"/>
        <v>Ερέτριας</v>
      </c>
    </row>
    <row r="311" spans="1:15" x14ac:dyDescent="0.25">
      <c r="A311" s="205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31" t="s">
        <v>884</v>
      </c>
      <c r="G311" s="231">
        <v>14140</v>
      </c>
      <c r="H311" t="str">
        <f>IFERROR(INDEX(DimosNaiOxi,MATCH(ΤΚ!E311,DimosNai,0)),"")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205">
        <f t="shared" si="29"/>
        <v>310</v>
      </c>
      <c r="L311" t="str">
        <f t="shared" si="30"/>
        <v>ΣΤΕΡΕΑΣ ΕΛΛΑΔΑΣ</v>
      </c>
      <c r="M311" t="str">
        <f t="shared" si="31"/>
        <v>ΣΤΕΡΕΑΣ ΕΛΛΑΔΑΣ - ΘΗΒΑΙΩΝ</v>
      </c>
      <c r="N311" s="203">
        <f t="shared" si="33"/>
        <v>14140</v>
      </c>
      <c r="O311" s="203" t="str">
        <f t="shared" si="34"/>
        <v>Θηβαίων</v>
      </c>
    </row>
    <row r="312" spans="1:15" x14ac:dyDescent="0.25">
      <c r="A312" s="205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31" t="s">
        <v>885</v>
      </c>
      <c r="G312" s="231">
        <v>14156</v>
      </c>
      <c r="H312" t="str">
        <f>IFERROR(INDEX(DimosNaiOxi,MATCH(ΤΚ!E312,DimosNai,0)),"")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205">
        <f t="shared" si="29"/>
        <v>311</v>
      </c>
      <c r="L312" t="str">
        <f t="shared" si="30"/>
        <v>ΣΤΕΡΕΑΣ ΕΛΛΑΔΑΣ</v>
      </c>
      <c r="M312" t="str">
        <f t="shared" si="31"/>
        <v>ΣΤΕΡΕΑΣ ΕΛΛΑΔΑΣ - ΙΣΤΙΑΙΑΣ – ΑΙΔΗΨΟΥ</v>
      </c>
      <c r="N312" s="203">
        <f t="shared" si="33"/>
        <v>14156</v>
      </c>
      <c r="O312" s="203" t="str">
        <f t="shared" si="34"/>
        <v>Ιστιαίας - Αιδηψού</v>
      </c>
    </row>
    <row r="313" spans="1:15" x14ac:dyDescent="0.25">
      <c r="A313" s="205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31" t="s">
        <v>886</v>
      </c>
      <c r="G313" s="231">
        <v>14198</v>
      </c>
      <c r="H313" t="str">
        <f>IFERROR(INDEX(DimosNaiOxi,MATCH(ΤΚ!E313,DimosNai,0)),"")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205">
        <f t="shared" si="29"/>
        <v>312</v>
      </c>
      <c r="L313" t="str">
        <f t="shared" si="30"/>
        <v>ΣΤΕΡΕΑΣ ΕΛΛΑΔΑΣ</v>
      </c>
      <c r="M313" t="str">
        <f t="shared" si="31"/>
        <v>ΣΤΕΡΕΑΣ ΕΛΛΑΔΑΣ - ΚΑΡΠΕΝΗΣΙΟΥ</v>
      </c>
      <c r="N313" s="203">
        <f t="shared" si="33"/>
        <v>14198</v>
      </c>
      <c r="O313" s="203" t="str">
        <f t="shared" si="34"/>
        <v>Καρπενησίου</v>
      </c>
    </row>
    <row r="314" spans="1:15" x14ac:dyDescent="0.25">
      <c r="A314" s="205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31" t="s">
        <v>887</v>
      </c>
      <c r="G314" s="231">
        <v>14192</v>
      </c>
      <c r="H314" t="str">
        <f>IFERROR(INDEX(DimosNaiOxi,MATCH(ΤΚ!E314,DimosNai,0)),"")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205">
        <f t="shared" si="29"/>
        <v>313</v>
      </c>
      <c r="L314" t="str">
        <f t="shared" si="30"/>
        <v>ΣΤΕΡΕΑΣ ΕΛΛΑΔΑΣ</v>
      </c>
      <c r="M314" t="str">
        <f t="shared" si="31"/>
        <v>ΣΤΕΡΕΑΣ ΕΛΛΑΔΑΣ - ΚΑΡΥΣΤΟΥ</v>
      </c>
      <c r="N314" s="203">
        <f t="shared" si="33"/>
        <v>14192</v>
      </c>
      <c r="O314" s="203" t="str">
        <f t="shared" si="34"/>
        <v>Καρύστου</v>
      </c>
    </row>
    <row r="315" spans="1:15" x14ac:dyDescent="0.25">
      <c r="A315" s="205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31" t="s">
        <v>888</v>
      </c>
      <c r="G315" s="231">
        <v>14172</v>
      </c>
      <c r="H315" t="str">
        <f>IFERROR(INDEX(DimosNaiOxi,MATCH(ΤΚ!E315,DimosNai,0)),"")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205">
        <f t="shared" si="29"/>
        <v>314</v>
      </c>
      <c r="L315" t="str">
        <f t="shared" si="30"/>
        <v>ΣΤΕΡΕΑΣ ΕΛΛΑΔΑΣ</v>
      </c>
      <c r="M315" t="str">
        <f t="shared" si="31"/>
        <v>ΣΤΕΡΕΑΣ ΕΛΛΑΔΑΣ - ΚΥΜΗΣ – ΑΛΙΒΕΡΙΟΥ</v>
      </c>
      <c r="N315" s="203">
        <f t="shared" si="33"/>
        <v>14172</v>
      </c>
      <c r="O315" s="203" t="str">
        <f t="shared" si="34"/>
        <v>Κύμης - Αλιβερίου</v>
      </c>
    </row>
    <row r="316" spans="1:15" x14ac:dyDescent="0.25">
      <c r="A316" s="205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31" t="s">
        <v>889</v>
      </c>
      <c r="G316" s="231">
        <v>14248</v>
      </c>
      <c r="H316" t="str">
        <f>IFERROR(INDEX(DimosNaiOxi,MATCH(ΤΚ!E316,DimosNai,0)),"")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205">
        <f t="shared" si="29"/>
        <v>315</v>
      </c>
      <c r="L316" t="str">
        <f t="shared" si="30"/>
        <v>ΣΤΕΡΕΑΣ ΕΛΛΑΔΑΣ</v>
      </c>
      <c r="M316" t="str">
        <f t="shared" si="31"/>
        <v>ΣΤΕΡΕΑΣ ΕΛΛΑΔΑΣ - ΛΑΜΙΕΩΝ</v>
      </c>
      <c r="N316" s="203">
        <f t="shared" si="33"/>
        <v>14248</v>
      </c>
      <c r="O316" s="203" t="str">
        <f t="shared" si="34"/>
        <v>Λαμιέων</v>
      </c>
    </row>
    <row r="317" spans="1:15" x14ac:dyDescent="0.25">
      <c r="A317" s="205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31" t="s">
        <v>890</v>
      </c>
      <c r="G317" s="231">
        <v>14254</v>
      </c>
      <c r="H317" t="str">
        <f>IFERROR(INDEX(DimosNaiOxi,MATCH(ΤΚ!E317,DimosNai,0)),"")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205">
        <f t="shared" si="29"/>
        <v>316</v>
      </c>
      <c r="L317" t="str">
        <f t="shared" si="30"/>
        <v>ΣΤΕΡΕΑΣ ΕΛΛΑΔΑΣ</v>
      </c>
      <c r="M317" t="str">
        <f t="shared" si="31"/>
        <v>ΣΤΕΡΕΑΣ ΕΛΛΑΔΑΣ - ΛΕΒΑΔΕΩΝ</v>
      </c>
      <c r="N317" s="203">
        <f t="shared" si="33"/>
        <v>14254</v>
      </c>
      <c r="O317" s="203" t="str">
        <f t="shared" si="34"/>
        <v>Λεβαδέων</v>
      </c>
    </row>
    <row r="318" spans="1:15" x14ac:dyDescent="0.25">
      <c r="A318" s="205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31" t="s">
        <v>891</v>
      </c>
      <c r="G318" s="231">
        <v>14260</v>
      </c>
      <c r="H318" t="str">
        <f>IFERROR(INDEX(DimosNaiOxi,MATCH(ΤΚ!E318,DimosNai,0)),"")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205">
        <f t="shared" si="29"/>
        <v>317</v>
      </c>
      <c r="L318" t="str">
        <f t="shared" si="30"/>
        <v>ΣΤΕΡΕΑΣ ΕΛΛΑΔΑΣ</v>
      </c>
      <c r="M318" t="str">
        <f t="shared" si="31"/>
        <v>ΣΤΕΡΕΑΣ ΕΛΛΑΔΑΣ - ΛΟΚΡΩΝ</v>
      </c>
      <c r="N318" s="203">
        <f t="shared" si="33"/>
        <v>14260</v>
      </c>
      <c r="O318" s="203" t="str">
        <f t="shared" si="34"/>
        <v>Λοκρών</v>
      </c>
    </row>
    <row r="319" spans="1:15" x14ac:dyDescent="0.25">
      <c r="A319" s="205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31" t="s">
        <v>892</v>
      </c>
      <c r="G319" s="231">
        <v>14274</v>
      </c>
      <c r="H319" t="str">
        <f>IFERROR(INDEX(DimosNaiOxi,MATCH(ΤΚ!E319,DimosNai,0)),"")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205">
        <f t="shared" si="29"/>
        <v>318</v>
      </c>
      <c r="L319" t="str">
        <f t="shared" si="30"/>
        <v>ΣΤΕΡΕΑΣ ΕΛΛΑΔΑΣ</v>
      </c>
      <c r="M319" t="str">
        <f t="shared" si="31"/>
        <v>ΣΤΕΡΕΑΣ ΕΛΛΑΔΑΣ - ΜΑΚΡΑΚΩΜΗΣ</v>
      </c>
      <c r="N319" s="203">
        <f t="shared" si="33"/>
        <v>14274</v>
      </c>
      <c r="O319" s="203" t="str">
        <f t="shared" si="34"/>
        <v>Μακρακώμης</v>
      </c>
    </row>
    <row r="320" spans="1:15" x14ac:dyDescent="0.25">
      <c r="A320" s="205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31" t="s">
        <v>893</v>
      </c>
      <c r="G320" s="231">
        <v>14278</v>
      </c>
      <c r="H320" t="str">
        <f>IFERROR(INDEX(DimosNaiOxi,MATCH(ΤΚ!E320,DimosNai,0)),"")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205">
        <f t="shared" si="29"/>
        <v>319</v>
      </c>
      <c r="L320" t="str">
        <f t="shared" si="30"/>
        <v>ΣΤΕΡΕΑΣ ΕΛΛΑΔΑΣ</v>
      </c>
      <c r="M320" t="str">
        <f t="shared" si="31"/>
        <v>ΣΤΕΡΕΑΣ ΕΛΛΑΔΑΣ - ΜΑΝΤΟΥΔΙΟΥ – ΛΙΜΝΗΣ – ΑΓΙΑΣ ΑΝΝΑΣ</v>
      </c>
      <c r="N320" s="203">
        <f t="shared" si="33"/>
        <v>14278</v>
      </c>
      <c r="O320" s="203" t="str">
        <f t="shared" si="34"/>
        <v>Μαντουδίου - Λίμνης - Αγίας Άννας</v>
      </c>
    </row>
    <row r="321" spans="1:15" x14ac:dyDescent="0.25">
      <c r="A321" s="205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31" t="s">
        <v>894</v>
      </c>
      <c r="G321" s="231">
        <v>14272</v>
      </c>
      <c r="H321" t="str">
        <f>IFERROR(INDEX(DimosNaiOxi,MATCH(ΤΚ!E321,DimosNai,0)),"")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205">
        <f t="shared" si="29"/>
        <v>320</v>
      </c>
      <c r="L321" t="str">
        <f t="shared" si="30"/>
        <v>ΣΤΕΡΕΑΣ ΕΛΛΑΔΑΣ</v>
      </c>
      <c r="M321" t="str">
        <f t="shared" si="31"/>
        <v>ΣΤΕΡΕΑΣ ΕΛΛΑΔΑΣ - ΜΩΛΟΥ – ΑΓΙΟΥ ΚΩΝΣΤΑΝΤΙΝΟΥ</v>
      </c>
      <c r="N321" s="203">
        <f t="shared" si="33"/>
        <v>14272</v>
      </c>
      <c r="O321" s="203" t="str">
        <f t="shared" si="34"/>
        <v>Μώλου - Αγ. Κωνσταντίνου</v>
      </c>
    </row>
    <row r="322" spans="1:15" x14ac:dyDescent="0.25">
      <c r="A322" s="205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31" t="s">
        <v>895</v>
      </c>
      <c r="G322" s="231">
        <v>14362</v>
      </c>
      <c r="H322" t="str">
        <f>IFERROR(INDEX(DimosNaiOxi,MATCH(ΤΚ!E322,DimosNai,0)),"")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205">
        <f t="shared" ref="K322:K326" si="36">SMALL(J:J,A322)</f>
        <v>321</v>
      </c>
      <c r="L322" t="str">
        <f t="shared" ref="L322:L326" si="37">IF(ISNUMBER(K322),LOOKUP(K322,A:A,B:B),"")</f>
        <v>ΣΤΕΡΕΑΣ ΕΛΛΑΔΑΣ</v>
      </c>
      <c r="M322" t="str">
        <f t="shared" si="31"/>
        <v>ΣΤΕΡΕΑΣ ΕΛΛΑΔΑΣ - ΟΡΧΟΜΕΝΟΥ</v>
      </c>
      <c r="N322" s="203">
        <f t="shared" si="33"/>
        <v>14362</v>
      </c>
      <c r="O322" s="203" t="str">
        <f t="shared" si="34"/>
        <v>Ορχομενού</v>
      </c>
    </row>
    <row r="323" spans="1:15" x14ac:dyDescent="0.25">
      <c r="A323" s="205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31" t="s">
        <v>896</v>
      </c>
      <c r="G323" s="231">
        <v>14470</v>
      </c>
      <c r="H323" t="str">
        <f>IFERROR(INDEX(DimosNaiOxi,MATCH(ΤΚ!E323,DimosNai,0)),"")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205">
        <f t="shared" si="36"/>
        <v>322</v>
      </c>
      <c r="L323" t="str">
        <f t="shared" si="37"/>
        <v>ΣΤΕΡΕΑΣ ΕΛΛΑΔΑΣ</v>
      </c>
      <c r="M323" t="str">
        <f t="shared" si="31"/>
        <v>ΣΤΕΡΕΑΣ ΕΛΛΑΔΑΣ - ΣΚΥΡΟΥ</v>
      </c>
      <c r="N323" s="203">
        <f t="shared" ref="N323:N326" si="39">IF(ISNUMBER(K323),LOOKUP(K323,A:A,G:G),"")</f>
        <v>14470</v>
      </c>
      <c r="O323" s="203" t="str">
        <f t="shared" ref="O323:O326" si="40">IF(ISNUMBER(K323),LOOKUP(K323,A:A,F:F),"")</f>
        <v>Σκύρου</v>
      </c>
    </row>
    <row r="324" spans="1:15" x14ac:dyDescent="0.25">
      <c r="A324" s="205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31" t="s">
        <v>897</v>
      </c>
      <c r="G324" s="231">
        <v>14488</v>
      </c>
      <c r="H324" t="str">
        <f>IFERROR(INDEX(DimosNaiOxi,MATCH(ΤΚ!E324,DimosNai,0)),"")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205">
        <f t="shared" si="36"/>
        <v>323</v>
      </c>
      <c r="L324" t="str">
        <f t="shared" si="37"/>
        <v>ΣΤΕΡΕΑΣ ΕΛΛΑΔΑΣ</v>
      </c>
      <c r="M324" t="str">
        <f t="shared" si="31"/>
        <v>ΣΤΕΡΕΑΣ ΕΛΛΑΔΑΣ - ΣΤΥΛΙΔΟΣ</v>
      </c>
      <c r="N324" s="203">
        <f t="shared" si="39"/>
        <v>14488</v>
      </c>
      <c r="O324" s="203" t="str">
        <f t="shared" si="40"/>
        <v>Στυλίδας</v>
      </c>
    </row>
    <row r="325" spans="1:15" x14ac:dyDescent="0.25">
      <c r="A325" s="205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31" t="s">
        <v>898</v>
      </c>
      <c r="G325" s="231">
        <v>14496</v>
      </c>
      <c r="H325" t="str">
        <f>IFERROR(INDEX(DimosNaiOxi,MATCH(ΤΚ!E325,DimosNai,0)),"")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205">
        <f t="shared" si="36"/>
        <v>324</v>
      </c>
      <c r="L325" t="str">
        <f t="shared" si="37"/>
        <v>ΣΤΕΡΕΑΣ ΕΛΛΑΔΑΣ</v>
      </c>
      <c r="M325" t="str">
        <f t="shared" si="31"/>
        <v>ΣΤΕΡΕΑΣ ΕΛΛΑΔΑΣ - ΤΑΝΑΓΡΑΣ</v>
      </c>
      <c r="N325" s="203">
        <f t="shared" si="39"/>
        <v>14496</v>
      </c>
      <c r="O325" s="203" t="str">
        <f t="shared" si="40"/>
        <v>Τανάγρας</v>
      </c>
    </row>
    <row r="326" spans="1:15" x14ac:dyDescent="0.25">
      <c r="A326" s="205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31" t="s">
        <v>899</v>
      </c>
      <c r="G326" s="231">
        <v>14540</v>
      </c>
      <c r="H326" t="str">
        <f>IFERROR(INDEX(DimosNaiOxi,MATCH(ΤΚ!E326,DimosNai,0)),"")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205">
        <f t="shared" si="36"/>
        <v>325</v>
      </c>
      <c r="L326" t="str">
        <f t="shared" si="37"/>
        <v>ΣΤΕΡΕΑΣ ΕΛΛΑΔΑΣ</v>
      </c>
      <c r="M326" t="str">
        <f t="shared" si="31"/>
        <v>ΣΤΕΡΕΑΣ ΕΛΛΑΔΑΣ - ΧΑΛΚΙΔΕΩΝ</v>
      </c>
      <c r="N326" s="203">
        <f t="shared" si="39"/>
        <v>14540</v>
      </c>
      <c r="O326" s="203" t="str">
        <f t="shared" si="40"/>
        <v>Χαλκιδέων</v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"/>
  <sheetViews>
    <sheetView workbookViewId="0">
      <selection activeCell="A2" sqref="A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7" hidden="1" customWidth="1"/>
    <col min="5" max="5" width="24.140625" style="207" hidden="1" customWidth="1"/>
    <col min="6" max="6" width="21.140625" style="207" hidden="1" customWidth="1"/>
    <col min="7" max="7" width="18.7109375" style="207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8" t="s">
        <v>921</v>
      </c>
      <c r="B1" s="198" t="s">
        <v>922</v>
      </c>
      <c r="C1" s="207" t="s">
        <v>902</v>
      </c>
      <c r="D1" s="208" t="s">
        <v>904</v>
      </c>
      <c r="E1" s="208" t="s">
        <v>905</v>
      </c>
      <c r="F1" s="207" t="s">
        <v>906</v>
      </c>
      <c r="G1" s="207" t="s">
        <v>907</v>
      </c>
      <c r="H1" s="209" t="s">
        <v>903</v>
      </c>
      <c r="I1" s="210" t="s">
        <v>908</v>
      </c>
      <c r="J1" s="210" t="s">
        <v>909</v>
      </c>
      <c r="K1" s="210" t="s">
        <v>910</v>
      </c>
      <c r="L1" s="210" t="s">
        <v>911</v>
      </c>
    </row>
    <row r="2" spans="1:12" ht="15.75" thickTop="1" x14ac:dyDescent="0.25">
      <c r="A2" s="199" t="s">
        <v>938</v>
      </c>
      <c r="B2" s="199" t="s">
        <v>938</v>
      </c>
      <c r="C2" s="207" t="str">
        <f>IF(A2="","",A2&amp;",")</f>
        <v>ΑΝΑΤΟΛΙΚΗΣ ΜΑΚΕΔΟΝΙΑΣ ΚΑΙ ΘΡΑΚΗΣ - ΚΑΒΑΛΑΣ,</v>
      </c>
      <c r="D2" s="207">
        <f t="shared" ref="D2:D15" si="0">_xlfn.IFNA(INDEX(OrchardIDnai,MATCH(A2,DimosNameNai,0)),"")</f>
        <v>14174</v>
      </c>
      <c r="E2" s="207" t="str">
        <f t="shared" ref="E2:E15" si="1">_xlfn.IFNA(INDEX(OrchardNameNai,MATCH(A2,DimosNameNai,0)),"")</f>
        <v>Καβάλας</v>
      </c>
      <c r="F2" s="207" t="str">
        <f>IF(D2="","",D2&amp;",")</f>
        <v>14174,</v>
      </c>
      <c r="G2" s="207" t="str">
        <f>IF(E2="","",E2&amp;",")</f>
        <v>Καβάλας,</v>
      </c>
      <c r="H2" s="209" t="str">
        <f>IF(B2="","",B2&amp;",")</f>
        <v>ΑΝΑΤΟΛΙΚΗΣ ΜΑΚΕΔΟΝΙΑΣ ΚΑΙ ΘΡΑΚΗΣ - ΚΑΒΑΛΑΣ,</v>
      </c>
      <c r="I2" s="209">
        <f t="shared" ref="I2:I15" si="2">_xlfn.IFNA(INDEX(OrchardIDnai,MATCH(B2,DimosNameNai,0)),"")</f>
        <v>14174</v>
      </c>
      <c r="J2" s="209" t="str">
        <f t="shared" ref="J2:J15" si="3">_xlfn.IFNA(INDEX(OrchardNameNai,MATCH(B2,DimosNameNai,0)),"")</f>
        <v>Καβάλας</v>
      </c>
      <c r="K2" s="209" t="str">
        <f>IF(I2="","",I2&amp;",")</f>
        <v>14174,</v>
      </c>
      <c r="L2" s="209" t="str">
        <f>IF(J2="","",J2&amp;",")</f>
        <v>Καβάλας,</v>
      </c>
    </row>
    <row r="3" spans="1:12" x14ac:dyDescent="0.25">
      <c r="A3" s="200" t="s">
        <v>939</v>
      </c>
      <c r="B3" s="200" t="s">
        <v>939</v>
      </c>
      <c r="C3" s="207" t="str">
        <f t="shared" ref="C3:C12" si="4">IF(A3="",C2,C2&amp;A3&amp;",")</f>
        <v>ΑΝΑΤΟΛΙΚΗΣ ΜΑΚΕΔΟΝΙΑΣ ΚΑΙ ΘΡΑΚΗΣ - ΚΑΒΑΛΑΣ,ΑΤΤΙΚΗΣ - ΑΘΗΝΑΙΩΝ,</v>
      </c>
      <c r="D3" s="207">
        <f t="shared" si="0"/>
        <v>13946</v>
      </c>
      <c r="E3" s="207" t="str">
        <f t="shared" si="1"/>
        <v>Αθηναίων</v>
      </c>
      <c r="F3" s="207" t="str">
        <f t="shared" ref="F3:G12" si="5">IF(D3="",F2,F2&amp;D3&amp;",")</f>
        <v>14174,13946,</v>
      </c>
      <c r="G3" s="207" t="str">
        <f t="shared" si="5"/>
        <v>Καβάλας,Αθηναίων,</v>
      </c>
      <c r="H3" s="209" t="str">
        <f t="shared" ref="H3:H12" si="6">IF(B3="",H2,H2&amp;B3&amp;",")</f>
        <v>ΑΝΑΤΟΛΙΚΗΣ ΜΑΚΕΔΟΝΙΑΣ ΚΑΙ ΘΡΑΚΗΣ - ΚΑΒΑΛΑΣ,ΑΤΤΙΚΗΣ - ΑΘΗΝΑΙΩΝ,</v>
      </c>
      <c r="I3" s="209">
        <f t="shared" si="2"/>
        <v>13946</v>
      </c>
      <c r="J3" s="209" t="str">
        <f t="shared" si="3"/>
        <v>Αθηναίων</v>
      </c>
      <c r="K3" s="209" t="str">
        <f t="shared" ref="K3:K12" si="7">IF(I3="",K2,K2&amp;I3&amp;",")</f>
        <v>14174,13946,</v>
      </c>
      <c r="L3" s="209" t="str">
        <f t="shared" ref="L3:L12" si="8">IF(J3="",L2,L2&amp;J3&amp;",")</f>
        <v>Καβάλας,Αθηναίων,</v>
      </c>
    </row>
    <row r="4" spans="1:12" x14ac:dyDescent="0.25">
      <c r="A4" s="200" t="s">
        <v>940</v>
      </c>
      <c r="B4" s="200" t="s">
        <v>940</v>
      </c>
      <c r="C4" s="207" t="str">
        <f t="shared" si="4"/>
        <v>ΑΝΑΤΟΛΙΚΗΣ ΜΑΚΕΔΟΝΙΑΣ ΚΑΙ ΘΡΑΚΗΣ - ΚΑΒΑΛΑΣ,ΑΤΤΙΚΗΣ - ΑΘΗΝΑΙΩΝ,ΘΕΣΣΑΛΙΑΣ - ΛΑΡΙΣΑΙΩΝ,</v>
      </c>
      <c r="D4" s="207">
        <f t="shared" si="0"/>
        <v>14250</v>
      </c>
      <c r="E4" s="207" t="str">
        <f t="shared" si="1"/>
        <v>Λαρισαίων</v>
      </c>
      <c r="F4" s="207" t="str">
        <f t="shared" si="5"/>
        <v>14174,13946,14250,</v>
      </c>
      <c r="G4" s="207" t="str">
        <f t="shared" si="5"/>
        <v>Καβάλας,Αθηναίων,Λαρισαίων,</v>
      </c>
      <c r="H4" s="209" t="str">
        <f t="shared" si="6"/>
        <v>ΑΝΑΤΟΛΙΚΗΣ ΜΑΚΕΔΟΝΙΑΣ ΚΑΙ ΘΡΑΚΗΣ - ΚΑΒΑΛΑΣ,ΑΤΤΙΚΗΣ - ΑΘΗΝΑΙΩΝ,ΘΕΣΣΑΛΙΑΣ - ΛΑΡΙΣΑΙΩΝ,</v>
      </c>
      <c r="I4" s="209">
        <f t="shared" si="2"/>
        <v>14250</v>
      </c>
      <c r="J4" s="209" t="str">
        <f t="shared" si="3"/>
        <v>Λαρισαίων</v>
      </c>
      <c r="K4" s="209" t="str">
        <f t="shared" si="7"/>
        <v>14174,13946,14250,</v>
      </c>
      <c r="L4" s="209" t="str">
        <f t="shared" si="8"/>
        <v>Καβάλας,Αθηναίων,Λαρισαίων,</v>
      </c>
    </row>
    <row r="5" spans="1:12" x14ac:dyDescent="0.25">
      <c r="A5" s="200" t="s">
        <v>941</v>
      </c>
      <c r="B5" s="200" t="s">
        <v>941</v>
      </c>
      <c r="C5" s="207" t="str">
        <f t="shared" si="4"/>
        <v>ΑΝΑΤΟΛΙΚΗΣ ΜΑΚΕΔΟΝΙΑΣ ΚΑΙ ΘΡΑΚΗΣ - ΚΑΒΑΛΑΣ,ΑΤΤΙΚΗΣ - ΑΘΗΝΑΙΩΝ,ΘΕΣΣΑΛΙΑΣ - ΛΑΡΙΣΑΙΩΝ,ΣΤΕΡΕΑΣ ΕΛΛΑΔΑΣ - ΛΑΜΙΕΩΝ,</v>
      </c>
      <c r="D5" s="207">
        <f t="shared" si="0"/>
        <v>14248</v>
      </c>
      <c r="E5" s="207" t="str">
        <f t="shared" si="1"/>
        <v>Λαμιέων</v>
      </c>
      <c r="F5" s="207" t="str">
        <f t="shared" si="5"/>
        <v>14174,13946,14250,14248,</v>
      </c>
      <c r="G5" s="207" t="str">
        <f t="shared" si="5"/>
        <v>Καβάλας,Αθηναίων,Λαρισαίων,Λαμιέων,</v>
      </c>
      <c r="H5" s="209" t="str">
        <f t="shared" si="6"/>
        <v>ΑΝΑΤΟΛΙΚΗΣ ΜΑΚΕΔΟΝΙΑΣ ΚΑΙ ΘΡΑΚΗΣ - ΚΑΒΑΛΑΣ,ΑΤΤΙΚΗΣ - ΑΘΗΝΑΙΩΝ,ΘΕΣΣΑΛΙΑΣ - ΛΑΡΙΣΑΙΩΝ,ΣΤΕΡΕΑΣ ΕΛΛΑΔΑΣ - ΛΑΜΙΕΩΝ,</v>
      </c>
      <c r="I5" s="209">
        <f t="shared" si="2"/>
        <v>14248</v>
      </c>
      <c r="J5" s="209" t="str">
        <f t="shared" si="3"/>
        <v>Λαμιέων</v>
      </c>
      <c r="K5" s="209" t="str">
        <f t="shared" si="7"/>
        <v>14174,13946,14250,14248,</v>
      </c>
      <c r="L5" s="209" t="str">
        <f t="shared" si="8"/>
        <v>Καβάλας,Αθηναίων,Λαρισαίων,Λαμιέων,</v>
      </c>
    </row>
    <row r="6" spans="1:12" x14ac:dyDescent="0.25">
      <c r="A6" s="200" t="s">
        <v>942</v>
      </c>
      <c r="B6" s="200" t="s">
        <v>942</v>
      </c>
      <c r="C6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</v>
      </c>
      <c r="D6" s="207">
        <f t="shared" si="0"/>
        <v>14502</v>
      </c>
      <c r="E6" s="207" t="str">
        <f t="shared" si="1"/>
        <v>Τρίπολης</v>
      </c>
      <c r="F6" s="207" t="str">
        <f t="shared" si="5"/>
        <v>14174,13946,14250,14248,14502,</v>
      </c>
      <c r="G6" s="207" t="str">
        <f t="shared" si="5"/>
        <v>Καβάλας,Αθηναίων,Λαρισαίων,Λαμιέων,Τρίπολης,</v>
      </c>
      <c r="H6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</v>
      </c>
      <c r="I6" s="209">
        <f t="shared" si="2"/>
        <v>14502</v>
      </c>
      <c r="J6" s="209" t="str">
        <f t="shared" si="3"/>
        <v>Τρίπολης</v>
      </c>
      <c r="K6" s="209" t="str">
        <f t="shared" si="7"/>
        <v>14174,13946,14250,14248,14502,</v>
      </c>
      <c r="L6" s="209" t="str">
        <f t="shared" si="8"/>
        <v>Καβάλας,Αθηναίων,Λαρισαίων,Λαμιέων,Τρίπολης,</v>
      </c>
    </row>
    <row r="7" spans="1:12" x14ac:dyDescent="0.25">
      <c r="A7" s="200" t="s">
        <v>943</v>
      </c>
      <c r="B7" s="200" t="s">
        <v>943</v>
      </c>
      <c r="C7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</v>
      </c>
      <c r="D7" s="207">
        <f t="shared" si="0"/>
        <v>14166</v>
      </c>
      <c r="E7" s="207" t="str">
        <f t="shared" si="1"/>
        <v>Κέρκυρας</v>
      </c>
      <c r="F7" s="207" t="str">
        <f t="shared" si="5"/>
        <v>14174,13946,14250,14248,14502,14166,</v>
      </c>
      <c r="G7" s="207" t="str">
        <f t="shared" si="5"/>
        <v>Καβάλας,Αθηναίων,Λαρισαίων,Λαμιέων,Τρίπολης,Κέρκυρας,</v>
      </c>
      <c r="H7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</v>
      </c>
      <c r="I7" s="209">
        <f t="shared" si="2"/>
        <v>14166</v>
      </c>
      <c r="J7" s="209" t="str">
        <f t="shared" si="3"/>
        <v>Κέρκυρας</v>
      </c>
      <c r="K7" s="209" t="str">
        <f t="shared" si="7"/>
        <v>14174,13946,14250,14248,14502,14166,</v>
      </c>
      <c r="L7" s="209" t="str">
        <f t="shared" si="8"/>
        <v>Καβάλας,Αθηναίων,Λαρισαίων,Λαμιέων,Τρίπολης,Κέρκυρας,</v>
      </c>
    </row>
    <row r="8" spans="1:12" x14ac:dyDescent="0.25">
      <c r="A8" s="200" t="s">
        <v>944</v>
      </c>
      <c r="B8" s="200" t="s">
        <v>944</v>
      </c>
      <c r="C8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</v>
      </c>
      <c r="D8" s="207">
        <f t="shared" si="0"/>
        <v>14126</v>
      </c>
      <c r="E8" s="207" t="str">
        <f t="shared" si="1"/>
        <v>Ηρακλείου</v>
      </c>
      <c r="F8" s="207" t="str">
        <f t="shared" si="5"/>
        <v>14174,13946,14250,14248,14502,14166,14126,</v>
      </c>
      <c r="G8" s="207" t="str">
        <f t="shared" si="5"/>
        <v>Καβάλας,Αθηναίων,Λαρισαίων,Λαμιέων,Τρίπολης,Κέρκυρας,Ηρακλείου,</v>
      </c>
      <c r="H8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</v>
      </c>
      <c r="I8" s="209">
        <f t="shared" si="2"/>
        <v>14126</v>
      </c>
      <c r="J8" s="209" t="str">
        <f t="shared" si="3"/>
        <v>Ηρακλείου</v>
      </c>
      <c r="K8" s="209" t="str">
        <f t="shared" si="7"/>
        <v>14174,13946,14250,14248,14502,14166,14126,</v>
      </c>
      <c r="L8" s="209" t="str">
        <f t="shared" si="8"/>
        <v>Καβάλας,Αθηναίων,Λαρισαίων,Λαμιέων,Τρίπολης,Κέρκυρας,Ηρακλείου,</v>
      </c>
    </row>
    <row r="9" spans="1:12" x14ac:dyDescent="0.25">
      <c r="A9" s="200" t="s">
        <v>945</v>
      </c>
      <c r="B9" s="200" t="s">
        <v>945</v>
      </c>
      <c r="C9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</v>
      </c>
      <c r="D9" s="207">
        <f t="shared" si="0"/>
        <v>14402</v>
      </c>
      <c r="E9" s="207" t="str">
        <f t="shared" si="1"/>
        <v>Πατρέων</v>
      </c>
      <c r="F9" s="207" t="str">
        <f t="shared" si="5"/>
        <v>14174,13946,14250,14248,14502,14166,14126,14402,</v>
      </c>
      <c r="G9" s="207" t="str">
        <f t="shared" si="5"/>
        <v>Καβάλας,Αθηναίων,Λαρισαίων,Λαμιέων,Τρίπολης,Κέρκυρας,Ηρακλείου,Πατρέων,</v>
      </c>
      <c r="H9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</v>
      </c>
      <c r="I9" s="209">
        <f t="shared" si="2"/>
        <v>14402</v>
      </c>
      <c r="J9" s="209" t="str">
        <f t="shared" si="3"/>
        <v>Πατρέων</v>
      </c>
      <c r="K9" s="209" t="str">
        <f t="shared" si="7"/>
        <v>14174,13946,14250,14248,14502,14166,14126,14402,</v>
      </c>
      <c r="L9" s="209" t="str">
        <f t="shared" si="8"/>
        <v>Καβάλας,Αθηναίων,Λαρισαίων,Λαμιέων,Τρίπολης,Κέρκυρας,Ηρακλείου,Πατρέων,</v>
      </c>
    </row>
    <row r="10" spans="1:12" x14ac:dyDescent="0.25">
      <c r="A10" s="200" t="s">
        <v>946</v>
      </c>
      <c r="B10" s="200" t="s">
        <v>946</v>
      </c>
      <c r="C10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</v>
      </c>
      <c r="D10" s="207">
        <f t="shared" si="0"/>
        <v>14050</v>
      </c>
      <c r="E10" s="207" t="str">
        <f t="shared" si="1"/>
        <v>Γρεβενών</v>
      </c>
      <c r="F10" s="207" t="str">
        <f t="shared" si="5"/>
        <v>14174,13946,14250,14248,14502,14166,14126,14402,14050,</v>
      </c>
      <c r="G10" s="207" t="str">
        <f t="shared" si="5"/>
        <v>Καβάλας,Αθηναίων,Λαρισαίων,Λαμιέων,Τρίπολης,Κέρκυρας,Ηρακλείου,Πατρέων,Γρεβενών,</v>
      </c>
      <c r="H10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</v>
      </c>
      <c r="I10" s="209">
        <f t="shared" si="2"/>
        <v>14050</v>
      </c>
      <c r="J10" s="209" t="str">
        <f t="shared" si="3"/>
        <v>Γρεβενών</v>
      </c>
      <c r="K10" s="209" t="str">
        <f t="shared" si="7"/>
        <v>14174,13946,14250,14248,14502,14166,14126,14402,14050,</v>
      </c>
      <c r="L10" s="209" t="str">
        <f t="shared" si="8"/>
        <v>Καβάλας,Αθηναίων,Λαρισαίων,Λαμιέων,Τρίπολης,Κέρκυρας,Ηρακλείου,Πατρέων,Γρεβενών,</v>
      </c>
    </row>
    <row r="11" spans="1:12" x14ac:dyDescent="0.25">
      <c r="A11" s="200" t="s">
        <v>947</v>
      </c>
      <c r="B11" s="200" t="s">
        <v>947</v>
      </c>
      <c r="C11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</v>
      </c>
      <c r="D11" s="207">
        <f t="shared" si="0"/>
        <v>14158</v>
      </c>
      <c r="E11" s="207" t="str">
        <f t="shared" si="1"/>
        <v>Ιωαννιτών</v>
      </c>
      <c r="F11" s="207" t="str">
        <f t="shared" si="5"/>
        <v>14174,13946,14250,14248,14502,14166,14126,14402,14050,14158,</v>
      </c>
      <c r="G11" s="207" t="str">
        <f t="shared" si="5"/>
        <v>Καβάλας,Αθηναίων,Λαρισαίων,Λαμιέων,Τρίπολης,Κέρκυρας,Ηρακλείου,Πατρέων,Γρεβενών,Ιωαννιτών,</v>
      </c>
      <c r="H11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</v>
      </c>
      <c r="I11" s="209">
        <f t="shared" si="2"/>
        <v>14158</v>
      </c>
      <c r="J11" s="209" t="str">
        <f t="shared" si="3"/>
        <v>Ιωαννιτών</v>
      </c>
      <c r="K11" s="209" t="str">
        <f t="shared" si="7"/>
        <v>14174,13946,14250,14248,14502,14166,14126,14402,14050,14158,</v>
      </c>
      <c r="L11" s="209" t="str">
        <f t="shared" si="8"/>
        <v>Καβάλας,Αθηναίων,Λαρισαίων,Λαμιέων,Τρίπολης,Κέρκυρας,Ηρακλείου,Πατρέων,Γρεβενών,Ιωαννιτών,</v>
      </c>
    </row>
    <row r="12" spans="1:12" x14ac:dyDescent="0.25">
      <c r="A12" s="200" t="s">
        <v>948</v>
      </c>
      <c r="B12" s="200" t="s">
        <v>948</v>
      </c>
      <c r="C12" s="207" t="str">
        <f t="shared" si="4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</v>
      </c>
      <c r="D12" s="207">
        <f t="shared" si="0"/>
        <v>14138</v>
      </c>
      <c r="E12" s="207" t="str">
        <f t="shared" si="1"/>
        <v>Θεσσαλονίκης</v>
      </c>
      <c r="F12" s="207" t="str">
        <f t="shared" si="5"/>
        <v>14174,13946,14250,14248,14502,14166,14126,14402,14050,14158,14138,</v>
      </c>
      <c r="G12" s="207" t="str">
        <f t="shared" si="5"/>
        <v>Καβάλας,Αθηναίων,Λαρισαίων,Λαμιέων,Τρίπολης,Κέρκυρας,Ηρακλείου,Πατρέων,Γρεβενών,Ιωαννιτών,Θεσσαλονίκης,</v>
      </c>
      <c r="H12" s="209" t="str">
        <f t="shared" si="6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</v>
      </c>
      <c r="I12" s="209">
        <f t="shared" si="2"/>
        <v>14138</v>
      </c>
      <c r="J12" s="209" t="str">
        <f t="shared" si="3"/>
        <v>Θεσσαλονίκης</v>
      </c>
      <c r="K12" s="209" t="str">
        <f t="shared" si="7"/>
        <v>14174,13946,14250,14248,14502,14166,14126,14402,14050,14158,14138,</v>
      </c>
      <c r="L12" s="209" t="str">
        <f t="shared" si="8"/>
        <v>Καβάλας,Αθηναίων,Λαρισαίων,Λαμιέων,Τρίπολης,Κέρκυρας,Ηρακλείου,Πατρέων,Γρεβενών,Ιωαννιτών,Θεσσαλονίκης,</v>
      </c>
    </row>
    <row r="13" spans="1:12" s="230" customFormat="1" x14ac:dyDescent="0.25">
      <c r="A13" s="200" t="s">
        <v>949</v>
      </c>
      <c r="B13" s="200" t="s">
        <v>949</v>
      </c>
      <c r="C13" s="207"/>
      <c r="D13" s="207"/>
      <c r="E13" s="207"/>
      <c r="F13" s="207"/>
      <c r="G13" s="207"/>
      <c r="H13" s="209"/>
      <c r="I13" s="209"/>
      <c r="J13" s="209"/>
      <c r="K13" s="209"/>
      <c r="L13" s="209"/>
    </row>
    <row r="14" spans="1:12" x14ac:dyDescent="0.25">
      <c r="A14" s="200" t="s">
        <v>950</v>
      </c>
      <c r="B14" s="200" t="s">
        <v>950</v>
      </c>
      <c r="C14" s="207" t="str">
        <f>IF(A14="",C12,C12&amp;A14&amp;",")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</v>
      </c>
      <c r="D14" s="207">
        <f t="shared" si="0"/>
        <v>14432</v>
      </c>
      <c r="E14" s="207" t="str">
        <f t="shared" si="1"/>
        <v>Ρόδου</v>
      </c>
      <c r="F14" s="207" t="str">
        <f>IF(D14="",F12,F12&amp;D14&amp;",")</f>
        <v>14174,13946,14250,14248,14502,14166,14126,14402,14050,14158,14138,14432,</v>
      </c>
      <c r="G14" s="207" t="str">
        <f>IF(E14="",G12,G12&amp;E14&amp;",")</f>
        <v>Καβάλας,Αθηναίων,Λαρισαίων,Λαμιέων,Τρίπολης,Κέρκυρας,Ηρακλείου,Πατρέων,Γρεβενών,Ιωαννιτών,Θεσσαλονίκης,Ρόδου,</v>
      </c>
      <c r="H14" s="209" t="str">
        <f>IF(B14="",H12,H12&amp;B14&amp;",")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</v>
      </c>
      <c r="I14" s="209">
        <f t="shared" si="2"/>
        <v>14432</v>
      </c>
      <c r="J14" s="209" t="str">
        <f t="shared" si="3"/>
        <v>Ρόδου</v>
      </c>
      <c r="K14" s="209" t="str">
        <f>IF(I14="",K12,K12&amp;I14&amp;",")</f>
        <v>14174,13946,14250,14248,14502,14166,14126,14402,14050,14158,14138,14432,</v>
      </c>
      <c r="L14" s="209" t="str">
        <f>IF(J14="",L12,L12&amp;J14&amp;",")</f>
        <v>Καβάλας,Αθηναίων,Λαρισαίων,Λαμιέων,Τρίπολης,Κέρκυρας,Ηρακλείου,Πατρέων,Γρεβενών,Ιωαννιτών,Θεσσαλονίκης,Ρόδου,</v>
      </c>
    </row>
    <row r="15" spans="1:12" ht="15.75" thickBot="1" x14ac:dyDescent="0.3">
      <c r="A15" s="201" t="s">
        <v>951</v>
      </c>
      <c r="B15" s="201" t="s">
        <v>951</v>
      </c>
      <c r="C15" s="207" t="str">
        <f>IF(LEN(C14)&gt;1,IF(A15="",LEFT(C14,LEN(C14)-1),C14&amp;A15),IF(A15="","",A15))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D15" s="207">
        <f t="shared" si="0"/>
        <v>14240</v>
      </c>
      <c r="E15" s="207" t="str">
        <f t="shared" si="1"/>
        <v>Λέσβου</v>
      </c>
      <c r="F15" s="207" t="str">
        <f>IF(LEN(F14)&gt;1,IF(D15="",LEFT(F14,LEN(F14)-1),F14&amp;D15),IF(D15="","",D15))</f>
        <v>14174,13946,14250,14248,14502,14166,14126,14402,14050,14158,14138,14432,14240</v>
      </c>
      <c r="G15" s="207" t="str">
        <f>IF(LEN(G14)&gt;1,IF(E15="",LEFT(G14,LEN(G14)-1),G14&amp;E15),IF(E15="","",E15))</f>
        <v>Καβάλας,Αθηναίων,Λαρισαίων,Λαμιέων,Τρίπολης,Κέρκυρας,Ηρακλείου,Πατρέων,Γρεβενών,Ιωαννιτών,Θεσσαλονίκης,Ρόδου,Λέσβου</v>
      </c>
      <c r="H15" s="209" t="str">
        <f>IF(LEN(H14)&gt;1,IF(B15="",LEFT(H14,LEN(H14)-1),H14&amp;B15),IF(B15="","",B15))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I15" s="209">
        <f t="shared" si="2"/>
        <v>14240</v>
      </c>
      <c r="J15" s="209" t="str">
        <f t="shared" si="3"/>
        <v>Λέσβου</v>
      </c>
      <c r="K15" s="209" t="str">
        <f>IF(LEN(K14)&gt;1,IF(I15="",LEFT(K14,LEN(K14)-1),K14&amp;I15),IF(I15="","",I15))</f>
        <v>14174,13946,14250,14248,14502,14166,14126,14402,14050,14158,14138,14432,14240</v>
      </c>
      <c r="L15" s="209" t="str">
        <f>IF(LEN(L14)&gt;1,IF(J15="",LEFT(L14,LEN(L14)-1),L14&amp;J15),IF(J15="","",J15))</f>
        <v>Καβάλας,Αθηναίων,Λαρισαίων,Λαμιέων,Τρίπολης,Κέρκυρας,Ηρακλείου,Πατρέων,Γρεβενών,Ιωαννιτών,Θεσσαλονίκης,Ρόδου,Λέσβου</v>
      </c>
    </row>
  </sheetData>
  <sheetProtection algorithmName="SHA-512" hashValue="kj2cKocJnNrt/k2t2Be8zz4hVQPlXeUN+91OLlRRuSjInl+j6oYvteXnggpWDz6h8uP4BJgUD0RtIh+kF5D2yw==" saltValue="ve9UY+DvXGVmHDeCxGAqYQ==" spinCount="100000" sheet="1" objects="1" scenarios="1" selectLockedCells="1"/>
  <dataValidations count="1">
    <dataValidation type="list" allowBlank="1" showInputMessage="1" showErrorMessage="1" sqref="A2:B15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O18"/>
  <sheetViews>
    <sheetView topLeftCell="C2" zoomScale="80" zoomScaleNormal="80" workbookViewId="0">
      <selection activeCell="L3" sqref="L3"/>
    </sheetView>
  </sheetViews>
  <sheetFormatPr defaultColWidth="0" defaultRowHeight="15" zeroHeight="1" x14ac:dyDescent="0.25"/>
  <cols>
    <col min="1" max="1" width="50" style="173" customWidth="1"/>
    <col min="2" max="2" width="23" style="173" hidden="1" customWidth="1"/>
    <col min="3" max="3" width="23" style="173" customWidth="1"/>
    <col min="4" max="5" width="23" style="218" hidden="1" customWidth="1"/>
    <col min="6" max="7" width="57.140625" style="173" customWidth="1"/>
    <col min="8" max="8" width="43.140625" style="173" customWidth="1"/>
    <col min="9" max="9" width="32.7109375" style="298" customWidth="1"/>
    <col min="10" max="10" width="25.140625" style="173" customWidth="1"/>
    <col min="11" max="11" width="6.85546875" style="173" hidden="1" customWidth="1"/>
    <col min="12" max="12" width="28.85546875" style="173" customWidth="1"/>
    <col min="13" max="13" width="6.42578125" style="173" customWidth="1"/>
    <col min="14" max="14" width="15.5703125" style="173" customWidth="1"/>
    <col min="15" max="15" width="66.85546875" style="173" customWidth="1"/>
    <col min="16" max="16384" width="9.140625" style="173" hidden="1"/>
  </cols>
  <sheetData>
    <row r="1" spans="1:15" ht="15.75" hidden="1" thickBot="1" x14ac:dyDescent="0.3">
      <c r="A1" t="s">
        <v>502</v>
      </c>
      <c r="B1" t="s">
        <v>501</v>
      </c>
      <c r="C1" s="2" t="s">
        <v>503</v>
      </c>
      <c r="D1" s="215" t="s">
        <v>900</v>
      </c>
      <c r="E1" s="215" t="s">
        <v>901</v>
      </c>
      <c r="F1" s="2" t="s">
        <v>506</v>
      </c>
      <c r="G1" s="2" t="s">
        <v>504</v>
      </c>
      <c r="H1" s="2" t="s">
        <v>928</v>
      </c>
      <c r="I1" s="2" t="s">
        <v>507</v>
      </c>
      <c r="J1" s="65" t="s">
        <v>510</v>
      </c>
      <c r="K1" s="2" t="s">
        <v>508</v>
      </c>
      <c r="L1" s="2" t="s">
        <v>509</v>
      </c>
      <c r="N1" s="65" t="s">
        <v>510</v>
      </c>
      <c r="O1" s="65" t="s">
        <v>510</v>
      </c>
    </row>
    <row r="2" spans="1:15" ht="71.25" customHeight="1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575</v>
      </c>
      <c r="G2" s="4" t="s">
        <v>479</v>
      </c>
      <c r="H2" s="4" t="s">
        <v>443</v>
      </c>
      <c r="I2" s="4" t="s">
        <v>929</v>
      </c>
      <c r="J2" s="4" t="s">
        <v>923</v>
      </c>
      <c r="K2" s="85" t="s">
        <v>497</v>
      </c>
      <c r="L2" s="86" t="s">
        <v>421</v>
      </c>
      <c r="N2" s="46" t="s">
        <v>452</v>
      </c>
      <c r="O2" s="107" t="s">
        <v>550</v>
      </c>
    </row>
    <row r="3" spans="1:15" ht="57" customHeight="1" thickTop="1" x14ac:dyDescent="0.25">
      <c r="A3" s="17" t="s">
        <v>442</v>
      </c>
      <c r="B3" s="44" t="str">
        <f>ΓΕΝΙΚΑ!C4</f>
        <v>OTE</v>
      </c>
      <c r="C3" s="178" t="s">
        <v>434</v>
      </c>
      <c r="D3" s="220" t="str">
        <f>IF(N3="",IF(ΓΕΝΙΚΑ!$B$16="ΝΑΙ",'ΤΚ ΜΕΤΡΗΣΕΩΝ B01'!F15,""),"")</f>
        <v>14174,13946,14250,14248,14502,14166,14126,14402,14050,14158,14138,14432,14240</v>
      </c>
      <c r="E3" s="220" t="str">
        <f>IF(ΓΕΝΙΚΑ!$B$16="ΝΑΙ",'ΤΚ ΜΕΤΡΗΣΕΩΝ B01'!G15,"")</f>
        <v>Καβάλας,Αθηναίων,Λαρισαίων,Λαμιέων,Τρίπολης,Κέρκυρας,Ηρακλείου,Πατρέων,Γρεβενών,Ιωαννιτών,Θεσσαλονίκης,Ρόδου,Λέσβου</v>
      </c>
      <c r="F3" s="202" t="str">
        <f>'ΤΚ ΜΕΤΡΗΣΕΩΝ B01'!C15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3" s="5" t="s">
        <v>440</v>
      </c>
      <c r="H3" s="5" t="s">
        <v>445</v>
      </c>
      <c r="I3" s="297">
        <f>J$3</f>
        <v>1.024</v>
      </c>
      <c r="J3" s="185">
        <v>1.024</v>
      </c>
      <c r="K3" s="269">
        <f>IF(ISNUMBER(J3),ROUND(J3,2),"")</f>
        <v>1.02</v>
      </c>
      <c r="L3" s="259" t="s">
        <v>953</v>
      </c>
      <c r="N3" s="98" t="str">
        <f>IF(O3="","","ΣΦΑΛΜΑ")</f>
        <v/>
      </c>
      <c r="O3" s="99" t="str">
        <f>CONCATENATE(IF(AND(ISNUMBER(J3)=FALSE),"Η Τιμή (Mbps) πρέπει να είναι αριθμός.",IF(J3&lt;0,"  |  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3" t="str">
        <f>$A$3</f>
        <v>Β01</v>
      </c>
      <c r="B4" s="14" t="str">
        <f t="shared" ref="B4:B18" si="0">$B$3</f>
        <v>OTE</v>
      </c>
      <c r="C4" s="14" t="str">
        <f>$C$3</f>
        <v>Άμεση</v>
      </c>
      <c r="D4" s="217" t="str">
        <f>IF(N3="",$D$3,"")</f>
        <v>14174,13946,14250,14248,14502,14166,14126,14402,14050,14158,14138,14432,14240</v>
      </c>
      <c r="E4" s="217" t="str">
        <f>$E$3</f>
        <v>Καβάλας,Αθηναίων,Λαρισαίων,Λαμιέων,Τρίπολης,Κέρκυρας,Ηρακλείου,Πατρέων,Γρεβενών,Ιωαννιτών,Θεσσαλονίκης,Ρόδου,Λέσβου</v>
      </c>
      <c r="F4" s="49" t="str">
        <f t="shared" ref="F4:F10" si="1">$F$3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4" s="5" t="s">
        <v>440</v>
      </c>
      <c r="H4" s="5" t="s">
        <v>446</v>
      </c>
      <c r="I4" s="299">
        <f>J$4</f>
        <v>4.0960000000000001</v>
      </c>
      <c r="J4" s="186">
        <v>4.0960000000000001</v>
      </c>
      <c r="K4" s="269">
        <f t="shared" ref="K4:K18" si="2">IF(ISNUMBER(J4),ROUND(J4,2),"")</f>
        <v>4.0999999999999996</v>
      </c>
      <c r="L4" s="239" t="str">
        <f>L$3</f>
        <v>Οι ονομαστικές ταχύτητες του πακέτου 1 δε μετρήθηκαν στα κέντρα Λάρισας, Λέσβου</v>
      </c>
      <c r="N4" s="100" t="str">
        <f t="shared" ref="N4:N18" si="3">IF(O4="","","ΣΦΑΛΜΑ")</f>
        <v/>
      </c>
      <c r="O4" s="99" t="str">
        <f>CONCATENATE(IF(AND(ISNUMBER(J4)=FALSE),"Η Τιμή (Mbps) πρέπει να είναι αριθμός.",IF(J4&lt;0,"  |  Η Τιμή (Mbps) πρέπει να είναι θετικός αριθμός","")),IF(AND(J4&lt;&gt;"",F4=""),"   |   Το ΤΚ στο οποίο πραγματοποιήθηκαν μετρήσεις πρέπει να συμπληρωθεί",""),"")</f>
        <v/>
      </c>
    </row>
    <row r="5" spans="1:15" ht="30.75" customHeight="1" x14ac:dyDescent="0.25">
      <c r="A5" s="13" t="str">
        <f t="shared" ref="A5:A11" si="4">$A$3</f>
        <v>Β01</v>
      </c>
      <c r="B5" s="14" t="str">
        <f t="shared" si="0"/>
        <v>OTE</v>
      </c>
      <c r="C5" s="14" t="str">
        <f t="shared" ref="C5:C10" si="5">$C$3</f>
        <v>Άμεση</v>
      </c>
      <c r="D5" s="217" t="str">
        <f t="shared" ref="D5:D10" si="6">IF(N4="",$D$3,"")</f>
        <v>14174,13946,14250,14248,14502,14166,14126,14402,14050,14158,14138,14432,14240</v>
      </c>
      <c r="E5" s="217" t="str">
        <f t="shared" ref="E5:E10" si="7">$E$3</f>
        <v>Καβάλας,Αθηναίων,Λαρισαίων,Λαμιέων,Τρίπολης,Κέρκυρας,Ηρακλείου,Πατρέων,Γρεβενών,Ιωαννιτών,Θεσσαλονίκης,Ρόδου,Λέσβου</v>
      </c>
      <c r="F5" s="49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5" s="7" t="s">
        <v>480</v>
      </c>
      <c r="H5" s="5" t="s">
        <v>445</v>
      </c>
      <c r="I5" s="297">
        <f>J$3</f>
        <v>1.024</v>
      </c>
      <c r="J5" s="186">
        <v>0.8034</v>
      </c>
      <c r="K5" s="269">
        <f t="shared" si="2"/>
        <v>0.8</v>
      </c>
      <c r="L5" s="239" t="str">
        <f t="shared" ref="L5:L18" si="8">L$3</f>
        <v>Οι ονομαστικές ταχύτητες του πακέτου 1 δε μετρήθηκαν στα κέντρα Λάρισας, Λέσβου</v>
      </c>
      <c r="N5" s="100" t="str">
        <f t="shared" si="3"/>
        <v/>
      </c>
      <c r="O5" s="99" t="str">
        <f>CONCATENATE(IF(AND(ISNUMBER(J5)=FALSE),"Η Τιμή (Mbps) πρέπει να είναι αριθμός.",IF(J5&lt;0,"  |  Η Τιμή (Mbps) πρέπει να είναι θετικός αριθμός","")),IF(AND(J5&lt;&gt;"",F5=""),"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3" t="str">
        <f t="shared" si="4"/>
        <v>Β01</v>
      </c>
      <c r="B6" s="14" t="str">
        <f t="shared" si="0"/>
        <v>OTE</v>
      </c>
      <c r="C6" s="14" t="str">
        <f t="shared" si="5"/>
        <v>Άμεση</v>
      </c>
      <c r="D6" s="217" t="str">
        <f t="shared" si="6"/>
        <v>14174,13946,14250,14248,14502,14166,14126,14402,14050,14158,14138,14432,14240</v>
      </c>
      <c r="E6" s="217" t="str">
        <f t="shared" si="7"/>
        <v>Καβάλας,Αθηναίων,Λαρισαίων,Λαμιέων,Τρίπολης,Κέρκυρας,Ηρακλείου,Πατρέων,Γρεβενών,Ιωαννιτών,Θεσσαλονίκης,Ρόδου,Λέσβου</v>
      </c>
      <c r="F6" s="49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6" s="7" t="s">
        <v>480</v>
      </c>
      <c r="H6" s="5" t="s">
        <v>446</v>
      </c>
      <c r="I6" s="299">
        <f>J$4</f>
        <v>4.0960000000000001</v>
      </c>
      <c r="J6" s="186">
        <v>3.1783000000000001</v>
      </c>
      <c r="K6" s="269">
        <f t="shared" si="2"/>
        <v>3.18</v>
      </c>
      <c r="L6" s="239" t="str">
        <f t="shared" si="8"/>
        <v>Οι ονομαστικές ταχύτητες του πακέτου 1 δε μετρήθηκαν στα κέντρα Λάρισας, Λέσβου</v>
      </c>
      <c r="N6" s="100" t="str">
        <f t="shared" si="3"/>
        <v/>
      </c>
      <c r="O6" s="99" t="str">
        <f>CONCATENATE(IF(AND(ISNUMBER(J6)=FALSE),"Η Τιμή (Mbps) πρέπει να είναι αριθμός.",IF(J6&lt;0,"  |  Η Τιμή (Mbps) πρέπει να είναι θετικός αριθμός","")),IF(AND(J6&lt;&gt;"",F6=""),"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3" t="str">
        <f t="shared" si="4"/>
        <v>Β01</v>
      </c>
      <c r="B7" s="14" t="str">
        <f t="shared" si="0"/>
        <v>OTE</v>
      </c>
      <c r="C7" s="14" t="str">
        <f t="shared" si="5"/>
        <v>Άμεση</v>
      </c>
      <c r="D7" s="217" t="str">
        <f t="shared" si="6"/>
        <v>14174,13946,14250,14248,14502,14166,14126,14402,14050,14158,14138,14432,14240</v>
      </c>
      <c r="E7" s="217" t="str">
        <f t="shared" si="7"/>
        <v>Καβάλας,Αθηναίων,Λαρισαίων,Λαμιέων,Τρίπολης,Κέρκυρας,Ηρακλείου,Πατρέων,Γρεβενών,Ιωαννιτών,Θεσσαλονίκης,Ρόδου,Λέσβου</v>
      </c>
      <c r="F7" s="49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7" s="7" t="s">
        <v>441</v>
      </c>
      <c r="H7" s="5" t="s">
        <v>445</v>
      </c>
      <c r="I7" s="297">
        <f>J$3</f>
        <v>1.024</v>
      </c>
      <c r="J7" s="186">
        <v>0.80230000000000001</v>
      </c>
      <c r="K7" s="269">
        <f t="shared" si="2"/>
        <v>0.8</v>
      </c>
      <c r="L7" s="239" t="str">
        <f t="shared" si="8"/>
        <v>Οι ονομαστικές ταχύτητες του πακέτου 1 δε μετρήθηκαν στα κέντρα Λάρισας, Λέσβου</v>
      </c>
      <c r="N7" s="100" t="str">
        <f t="shared" si="3"/>
        <v/>
      </c>
      <c r="O7" s="99" t="str">
        <f>CONCATENATE(IF(AND(ISNUMBER(J7)=FALSE),"Η Τιμή (Mbps) πρέπει να είναι αριθμός.",IF(J7&lt;0,"  |  Η Τιμή (Mbps) πρέπει να είναι θετικός αριθμός","")),IF(AND(J7&lt;&gt;"",F7=""),"   |   Το ΤΚ στο οποίο πραγματοποιήθηκαν μετρήσεις πρέπει να συμπληρωθεί",""))</f>
        <v/>
      </c>
    </row>
    <row r="8" spans="1:15" ht="30.75" customHeight="1" x14ac:dyDescent="0.25">
      <c r="A8" s="13" t="str">
        <f t="shared" si="4"/>
        <v>Β01</v>
      </c>
      <c r="B8" s="14" t="str">
        <f t="shared" si="0"/>
        <v>OTE</v>
      </c>
      <c r="C8" s="14" t="str">
        <f t="shared" si="5"/>
        <v>Άμεση</v>
      </c>
      <c r="D8" s="217" t="str">
        <f t="shared" si="6"/>
        <v>14174,13946,14250,14248,14502,14166,14126,14402,14050,14158,14138,14432,14240</v>
      </c>
      <c r="E8" s="217" t="str">
        <f t="shared" si="7"/>
        <v>Καβάλας,Αθηναίων,Λαρισαίων,Λαμιέων,Τρίπολης,Κέρκυρας,Ηρακλείου,Πατρέων,Γρεβενών,Ιωαννιτών,Θεσσαλονίκης,Ρόδου,Λέσβου</v>
      </c>
      <c r="F8" s="49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8" s="7" t="s">
        <v>441</v>
      </c>
      <c r="H8" s="5" t="s">
        <v>446</v>
      </c>
      <c r="I8" s="299">
        <f>J$4</f>
        <v>4.0960000000000001</v>
      </c>
      <c r="J8" s="186">
        <v>3.1779999999999999</v>
      </c>
      <c r="K8" s="269">
        <f t="shared" si="2"/>
        <v>3.18</v>
      </c>
      <c r="L8" s="239" t="str">
        <f t="shared" si="8"/>
        <v>Οι ονομαστικές ταχύτητες του πακέτου 1 δε μετρήθηκαν στα κέντρα Λάρισας, Λέσβου</v>
      </c>
      <c r="N8" s="100" t="str">
        <f t="shared" si="3"/>
        <v/>
      </c>
      <c r="O8" s="99" t="str">
        <f>CONCATENATE(IF(AND(ISNUMBER(J8)=FALSE),"Η Τιμή (Mbps) πρέπει να είναι αριθμός.",IF(J8&lt;0,"  |  Η Τιμή (Mbps) πρέπει να είναι θετικός αριθμός","")),IF(AND(J8&lt;&gt;"",F8=""),"   |   Το ΤΚ στο οποίο πραγματοποιήθηκαν μετρήσεις πρέπει να συμπληρωθεί",""))</f>
        <v/>
      </c>
    </row>
    <row r="9" spans="1:15" ht="30.75" customHeight="1" x14ac:dyDescent="0.25">
      <c r="A9" s="13" t="str">
        <f t="shared" si="4"/>
        <v>Β01</v>
      </c>
      <c r="B9" s="14" t="str">
        <f t="shared" si="0"/>
        <v>OTE</v>
      </c>
      <c r="C9" s="14" t="str">
        <f t="shared" si="5"/>
        <v>Άμεση</v>
      </c>
      <c r="D9" s="217" t="str">
        <f t="shared" si="6"/>
        <v>14174,13946,14250,14248,14502,14166,14126,14402,14050,14158,14138,14432,14240</v>
      </c>
      <c r="E9" s="217" t="str">
        <f t="shared" si="7"/>
        <v>Καβάλας,Αθηναίων,Λαρισαίων,Λαμιέων,Τρίπολης,Κέρκυρας,Ηρακλείου,Πατρέων,Γρεβενών,Ιωαννιτών,Θεσσαλονίκης,Ρόδου,Λέσβου</v>
      </c>
      <c r="F9" s="49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9" s="7" t="s">
        <v>481</v>
      </c>
      <c r="H9" s="5" t="s">
        <v>445</v>
      </c>
      <c r="I9" s="297">
        <f>J$3</f>
        <v>1.024</v>
      </c>
      <c r="J9" s="186">
        <v>0.80210000000000004</v>
      </c>
      <c r="K9" s="269">
        <f t="shared" si="2"/>
        <v>0.8</v>
      </c>
      <c r="L9" s="239" t="str">
        <f t="shared" si="8"/>
        <v>Οι ονομαστικές ταχύτητες του πακέτου 1 δε μετρήθηκαν στα κέντρα Λάρισας, Λέσβου</v>
      </c>
      <c r="N9" s="100" t="str">
        <f t="shared" si="3"/>
        <v/>
      </c>
      <c r="O9" s="99" t="str">
        <f>CONCATENATE(IF(AND(ISNUMBER(J9)=FALSE),"Η Τιμή (Mbps) πρέπει να είναι αριθμός.",IF(J9&lt;0,"  |  Η Τιμή (Mbps) πρέπει να είναι θετικός αριθμός","")),IF(AND(J9&lt;&gt;"",F9=""),"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5" t="str">
        <f t="shared" si="4"/>
        <v>Β01</v>
      </c>
      <c r="B10" s="16" t="str">
        <f t="shared" si="0"/>
        <v>OTE</v>
      </c>
      <c r="C10" s="16" t="str">
        <f t="shared" si="5"/>
        <v>Άμεση</v>
      </c>
      <c r="D10" s="221" t="str">
        <f t="shared" si="6"/>
        <v>14174,13946,14250,14248,14502,14166,14126,14402,14050,14158,14138,14432,14240</v>
      </c>
      <c r="E10" s="221" t="str">
        <f t="shared" si="7"/>
        <v>Καβάλας,Αθηναίων,Λαρισαίων,Λαμιέων,Τρίπολης,Κέρκυρας,Ηρακλείου,Πατρέων,Γρεβενών,Ιωαννιτών,Θεσσαλονίκης,Ρόδου,Λέσβου</v>
      </c>
      <c r="F10" s="48" t="str">
        <f t="shared" si="1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0" s="6" t="s">
        <v>481</v>
      </c>
      <c r="H10" s="12" t="s">
        <v>446</v>
      </c>
      <c r="I10" s="301">
        <f>J$4</f>
        <v>4.0960000000000001</v>
      </c>
      <c r="J10" s="187">
        <v>3.1778</v>
      </c>
      <c r="K10" s="269">
        <f t="shared" si="2"/>
        <v>3.18</v>
      </c>
      <c r="L10" s="239" t="str">
        <f t="shared" si="8"/>
        <v>Οι ονομαστικές ταχύτητες του πακέτου 1 δε μετρήθηκαν στα κέντρα Λάρισας, Λέσβου</v>
      </c>
      <c r="N10" s="100" t="str">
        <f t="shared" si="3"/>
        <v/>
      </c>
      <c r="O10" s="99" t="str">
        <f>CONCATENATE(IF(AND(ISNUMBER(J10)=FALSE),"Η Τιμή (Mbps) πρέπει να είναι αριθμός.",IF(J10&lt;0,"  |  Η Τιμή (Mbps) πρέπει να είναι θετικός αριθμός","")),IF(AND(J10&lt;&gt;"",F10=""),"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3" t="str">
        <f t="shared" si="4"/>
        <v>Β01</v>
      </c>
      <c r="B11" s="14" t="str">
        <f t="shared" si="0"/>
        <v>OTE</v>
      </c>
      <c r="C11" s="63" t="str">
        <f>$C$3</f>
        <v>Άμεση</v>
      </c>
      <c r="D11" s="222" t="str">
        <f>IF(N11="",IF(ΓΕΝΙΚΑ!$B$16="ΝΑΙ",'ΤΚ ΜΕΤΡΗΣΕΩΝ B01'!K15,""),"")</f>
        <v>14174,13946,14250,14248,14502,14166,14126,14402,14050,14158,14138,14432,14240</v>
      </c>
      <c r="E11" s="222" t="str">
        <f>IF(ΓΕΝΙΚΑ!$B$16="ΝΑΙ",'ΤΚ ΜΕΤΡΗΣΕΩΝ B01'!L15,"")</f>
        <v>Καβάλας,Αθηναίων,Λαρισαίων,Λαμιέων,Τρίπολης,Κέρκυρας,Ηρακλείου,Πατρέων,Γρεβενών,Ιωαννιτών,Θεσσαλονίκης,Ρόδου,Λέσβου</v>
      </c>
      <c r="F11" s="202" t="str">
        <f>'ΤΚ ΜΕΤΡΗΣΕΩΝ B01'!H15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1" s="5" t="s">
        <v>440</v>
      </c>
      <c r="H11" s="5" t="s">
        <v>445</v>
      </c>
      <c r="I11" s="297">
        <f>J$11</f>
        <v>1.024</v>
      </c>
      <c r="J11" s="185">
        <v>1.024</v>
      </c>
      <c r="K11" s="269">
        <f t="shared" si="2"/>
        <v>1.02</v>
      </c>
      <c r="L11" s="239" t="str">
        <f t="shared" si="8"/>
        <v>Οι ονομαστικές ταχύτητες του πακέτου 1 δε μετρήθηκαν στα κέντρα Λάρισας, Λέσβου</v>
      </c>
      <c r="N11" s="100" t="str">
        <f t="shared" si="3"/>
        <v/>
      </c>
      <c r="O11" s="108" t="str">
        <f>IF(I11&lt;&gt;"",CONCATENATE(IF(AND(J11&lt;&gt;"",F11=""),"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3" t="str">
        <f>$A$3</f>
        <v>Β01</v>
      </c>
      <c r="B12" s="14" t="str">
        <f>$B$3</f>
        <v>OTE</v>
      </c>
      <c r="C12" s="14" t="str">
        <f>$C$3</f>
        <v>Άμεση</v>
      </c>
      <c r="D12" s="217" t="str">
        <f>IF(N12="",$D$11,"")</f>
        <v>14174,13946,14250,14248,14502,14166,14126,14402,14050,14158,14138,14432,14240</v>
      </c>
      <c r="E12" s="217" t="str">
        <f>$E$11</f>
        <v>Καβάλας,Αθηναίων,Λαρισαίων,Λαμιέων,Τρίπολης,Κέρκυρας,Ηρακλείου,Πατρέων,Γρεβενών,Ιωαννιτών,Θεσσαλονίκης,Ρόδου,Λέσβου</v>
      </c>
      <c r="F12" s="49" t="str">
        <f t="shared" ref="F12:F18" si="9">$F$3</f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2" s="5" t="s">
        <v>440</v>
      </c>
      <c r="H12" s="5" t="s">
        <v>446</v>
      </c>
      <c r="I12" s="299">
        <f>J$12</f>
        <v>24.576000000000001</v>
      </c>
      <c r="J12" s="186">
        <v>24.576000000000001</v>
      </c>
      <c r="K12" s="269">
        <f t="shared" si="2"/>
        <v>24.58</v>
      </c>
      <c r="L12" s="239" t="str">
        <f t="shared" si="8"/>
        <v>Οι ονομαστικές ταχύτητες του πακέτου 1 δε μετρήθηκαν στα κέντρα Λάρισας, Λέσβου</v>
      </c>
      <c r="N12" s="100" t="str">
        <f t="shared" si="3"/>
        <v/>
      </c>
      <c r="O12" s="108" t="str">
        <f>IF(I12&lt;&gt;"",CONCATENATE(IF(AND(J12&lt;&gt;"",F12=""),"   |   Το ΤΚ στο οποίο πραγματοποιήθηκαν μετρήσεις πρέπει να συμπληρωθεί",""),""),"")</f>
        <v/>
      </c>
    </row>
    <row r="13" spans="1:15" ht="30.75" customHeight="1" x14ac:dyDescent="0.25">
      <c r="A13" s="13" t="str">
        <f t="shared" ref="A13:A18" si="10">$A$3</f>
        <v>Β01</v>
      </c>
      <c r="B13" s="14" t="str">
        <f t="shared" si="0"/>
        <v>OTE</v>
      </c>
      <c r="C13" s="14" t="str">
        <f t="shared" ref="C13:C18" si="11">$C$3</f>
        <v>Άμεση</v>
      </c>
      <c r="D13" s="217" t="str">
        <f t="shared" ref="D13:D18" si="12">IF(N13="",$D$11,"")</f>
        <v>14174,13946,14250,14248,14502,14166,14126,14402,14050,14158,14138,14432,14240</v>
      </c>
      <c r="E13" s="217" t="str">
        <f t="shared" ref="E13:E18" si="13">$E$11</f>
        <v>Καβάλας,Αθηναίων,Λαρισαίων,Λαμιέων,Τρίπολης,Κέρκυρας,Ηρακλείου,Πατρέων,Γρεβενών,Ιωαννιτών,Θεσσαλονίκης,Ρόδου,Λέσβου</v>
      </c>
      <c r="F13" s="49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3" s="7" t="s">
        <v>480</v>
      </c>
      <c r="H13" s="5" t="s">
        <v>445</v>
      </c>
      <c r="I13" s="297">
        <f>J$11</f>
        <v>1.024</v>
      </c>
      <c r="J13" s="186">
        <v>0.93489999999999995</v>
      </c>
      <c r="K13" s="269">
        <f t="shared" si="2"/>
        <v>0.93</v>
      </c>
      <c r="L13" s="239" t="str">
        <f t="shared" si="8"/>
        <v>Οι ονομαστικές ταχύτητες του πακέτου 1 δε μετρήθηκαν στα κέντρα Λάρισας, Λέσβου</v>
      </c>
      <c r="N13" s="100" t="str">
        <f t="shared" si="3"/>
        <v/>
      </c>
      <c r="O13" s="108" t="str">
        <f>IF(J11&lt;&gt;"",CONCATENATE(IF(AND(ISNUMBER(J13)=FALSE),"Η Τιμή (Mbps) πρέπει να είναι αριθμός.",IF(J13&lt;0,"  |  Η Τιμή (Mbps) πρέπει να είναι θετικός αριθμός","")),IF(AND(J13&lt;&gt;"",F13=""),"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3" t="str">
        <f t="shared" si="10"/>
        <v>Β01</v>
      </c>
      <c r="B14" s="14" t="str">
        <f t="shared" si="0"/>
        <v>OTE</v>
      </c>
      <c r="C14" s="14" t="str">
        <f t="shared" si="11"/>
        <v>Άμεση</v>
      </c>
      <c r="D14" s="217" t="str">
        <f t="shared" si="12"/>
        <v>14174,13946,14250,14248,14502,14166,14126,14402,14050,14158,14138,14432,14240</v>
      </c>
      <c r="E14" s="217" t="str">
        <f t="shared" si="13"/>
        <v>Καβάλας,Αθηναίων,Λαρισαίων,Λαμιέων,Τρίπολης,Κέρκυρας,Ηρακλείου,Πατρέων,Γρεβενών,Ιωαννιτών,Θεσσαλονίκης,Ρόδου,Λέσβου</v>
      </c>
      <c r="F14" s="49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4" s="7" t="s">
        <v>480</v>
      </c>
      <c r="H14" s="5" t="s">
        <v>446</v>
      </c>
      <c r="I14" s="299">
        <f>J$12</f>
        <v>24.576000000000001</v>
      </c>
      <c r="J14" s="186">
        <v>22.270099999999999</v>
      </c>
      <c r="K14" s="269">
        <f t="shared" si="2"/>
        <v>22.27</v>
      </c>
      <c r="L14" s="239" t="str">
        <f t="shared" si="8"/>
        <v>Οι ονομαστικές ταχύτητες του πακέτου 1 δε μετρήθηκαν στα κέντρα Λάρισας, Λέσβου</v>
      </c>
      <c r="N14" s="100" t="str">
        <f t="shared" si="3"/>
        <v/>
      </c>
      <c r="O14" s="108" t="str">
        <f>IF(J12&lt;&gt;"",CONCATENATE(IF(AND(ISNUMBER(J14)=FALSE),"Η Τιμή (Mbps) πρέπει να είναι αριθμός.",IF(J14&lt;0,"  |  Η Τιμή (Mbps) πρέπει να είναι θετικός αριθμός","")),IF(AND(J14&lt;&gt;"",F14=""),"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3" t="str">
        <f t="shared" si="10"/>
        <v>Β01</v>
      </c>
      <c r="B15" s="14" t="str">
        <f t="shared" si="0"/>
        <v>OTE</v>
      </c>
      <c r="C15" s="14" t="str">
        <f t="shared" si="11"/>
        <v>Άμεση</v>
      </c>
      <c r="D15" s="217" t="str">
        <f t="shared" si="12"/>
        <v>14174,13946,14250,14248,14502,14166,14126,14402,14050,14158,14138,14432,14240</v>
      </c>
      <c r="E15" s="217" t="str">
        <f t="shared" si="13"/>
        <v>Καβάλας,Αθηναίων,Λαρισαίων,Λαμιέων,Τρίπολης,Κέρκυρας,Ηρακλείου,Πατρέων,Γρεβενών,Ιωαννιτών,Θεσσαλονίκης,Ρόδου,Λέσβου</v>
      </c>
      <c r="F15" s="49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5" s="7" t="s">
        <v>441</v>
      </c>
      <c r="H15" s="5" t="s">
        <v>445</v>
      </c>
      <c r="I15" s="297">
        <f>J$11</f>
        <v>1.024</v>
      </c>
      <c r="J15" s="186">
        <v>0.93320000000000003</v>
      </c>
      <c r="K15" s="269">
        <f t="shared" si="2"/>
        <v>0.93</v>
      </c>
      <c r="L15" s="239" t="str">
        <f t="shared" si="8"/>
        <v>Οι ονομαστικές ταχύτητες του πακέτου 1 δε μετρήθηκαν στα κέντρα Λάρισας, Λέσβου</v>
      </c>
      <c r="N15" s="100" t="str">
        <f t="shared" si="3"/>
        <v/>
      </c>
      <c r="O15" s="108" t="str">
        <f>IF(J11&lt;&gt;"",CONCATENATE(IF(AND(ISNUMBER(J15)=FALSE),"Η Τιμή (Mbps) πρέπει να είναι αριθμός.",IF(J15&lt;0,"  |  Η Τιμή (Mbps) πρέπει να είναι θετικός αριθμός","")),IF(AND(J15&lt;&gt;"",F15=""),"   |   Το ΤΚ στο οποίο πραγματοποιήθηκαν μετρήσεις πρέπει να συμπληρωθεί",""),IF(OR(J13&lt;J15,J15&lt;J17),"  |  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3" t="str">
        <f t="shared" si="10"/>
        <v>Β01</v>
      </c>
      <c r="B16" s="14" t="str">
        <f t="shared" si="0"/>
        <v>OTE</v>
      </c>
      <c r="C16" s="14" t="str">
        <f t="shared" si="11"/>
        <v>Άμεση</v>
      </c>
      <c r="D16" s="217" t="str">
        <f t="shared" si="12"/>
        <v>14174,13946,14250,14248,14502,14166,14126,14402,14050,14158,14138,14432,14240</v>
      </c>
      <c r="E16" s="217" t="str">
        <f t="shared" si="13"/>
        <v>Καβάλας,Αθηναίων,Λαρισαίων,Λαμιέων,Τρίπολης,Κέρκυρας,Ηρακλείου,Πατρέων,Γρεβενών,Ιωαννιτών,Θεσσαλονίκης,Ρόδου,Λέσβου</v>
      </c>
      <c r="F16" s="49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6" s="7" t="s">
        <v>441</v>
      </c>
      <c r="H16" s="5" t="s">
        <v>446</v>
      </c>
      <c r="I16" s="299">
        <f>J$12</f>
        <v>24.576000000000001</v>
      </c>
      <c r="J16" s="186">
        <v>22.248899999999999</v>
      </c>
      <c r="K16" s="269">
        <f t="shared" si="2"/>
        <v>22.25</v>
      </c>
      <c r="L16" s="239" t="str">
        <f t="shared" si="8"/>
        <v>Οι ονομαστικές ταχύτητες του πακέτου 1 δε μετρήθηκαν στα κέντρα Λάρισας, Λέσβου</v>
      </c>
      <c r="N16" s="100" t="str">
        <f t="shared" si="3"/>
        <v/>
      </c>
      <c r="O16" s="108" t="str">
        <f>IF(J12&lt;&gt;"",CONCATENATE(IF(AND(ISNUMBER(J16)=FALSE),"Η Τιμή (Mbps) πρέπει να είναι αριθμός.",IF(J16&lt;0,"  |  Η Τιμή (Mbps) πρέπει να είναι θετικός αριθμός","")),IF(AND(J16&lt;&gt;"",F16=""),"   |   Το ΤΚ στο οποίο πραγματοποιήθηκαν μετρήσεις πρέπει να συμπληρωθεί",""),IF(OR(J14&lt;J16,J16&lt;J18),"  |  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3" t="str">
        <f t="shared" si="10"/>
        <v>Β01</v>
      </c>
      <c r="B17" s="14" t="str">
        <f t="shared" si="0"/>
        <v>OTE</v>
      </c>
      <c r="C17" s="14" t="str">
        <f t="shared" si="11"/>
        <v>Άμεση</v>
      </c>
      <c r="D17" s="217" t="str">
        <f t="shared" si="12"/>
        <v>14174,13946,14250,14248,14502,14166,14126,14402,14050,14158,14138,14432,14240</v>
      </c>
      <c r="E17" s="217" t="str">
        <f t="shared" si="13"/>
        <v>Καβάλας,Αθηναίων,Λαρισαίων,Λαμιέων,Τρίπολης,Κέρκυρας,Ηρακλείου,Πατρέων,Γρεβενών,Ιωαννιτών,Θεσσαλονίκης,Ρόδου,Λέσβου</v>
      </c>
      <c r="F17" s="49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7" s="7" t="s">
        <v>481</v>
      </c>
      <c r="H17" s="5" t="s">
        <v>445</v>
      </c>
      <c r="I17" s="300">
        <f>J$11</f>
        <v>1.024</v>
      </c>
      <c r="J17" s="186">
        <v>0.93300000000000005</v>
      </c>
      <c r="K17" s="269">
        <f t="shared" si="2"/>
        <v>0.93</v>
      </c>
      <c r="L17" s="239" t="str">
        <f t="shared" si="8"/>
        <v>Οι ονομαστικές ταχύτητες του πακέτου 1 δε μετρήθηκαν στα κέντρα Λάρισας, Λέσβου</v>
      </c>
      <c r="N17" s="100" t="str">
        <f t="shared" si="3"/>
        <v/>
      </c>
      <c r="O17" s="108" t="str">
        <f>IF(J11&lt;&gt;"",CONCATENATE(IF(AND(ISNUMBER(J17)=FALSE),"Η Τιμή (Mbps) πρέπει να είναι αριθμός.",IF(J17&lt;0,"  |  Η Τιμή (Mbps) πρέπει να είναι θετικός αριθμός","")),IF(AND(J17&lt;&gt;"",F17=""),"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5" t="str">
        <f t="shared" si="10"/>
        <v>Β01</v>
      </c>
      <c r="B18" s="16" t="str">
        <f t="shared" si="0"/>
        <v>OTE</v>
      </c>
      <c r="C18" s="16" t="str">
        <f t="shared" si="11"/>
        <v>Άμεση</v>
      </c>
      <c r="D18" s="221" t="str">
        <f t="shared" si="12"/>
        <v>14174,13946,14250,14248,14502,14166,14126,14402,14050,14158,14138,14432,14240</v>
      </c>
      <c r="E18" s="221" t="str">
        <f t="shared" si="13"/>
        <v>Καβάλας,Αθηναίων,Λαρισαίων,Λαμιέων,Τρίπολης,Κέρκυρας,Ηρακλείου,Πατρέων,Γρεβενών,Ιωαννιτών,Θεσσαλονίκης,Ρόδου,Λέσβου</v>
      </c>
      <c r="F18" s="48" t="str">
        <f t="shared" si="9"/>
        <v>ΑΝΑΤΟΛΙΚΗΣ ΜΑΚΕΔΟΝΙΑΣ ΚΑΙ ΘΡΑΚΗΣ - ΚΑΒΑΛΑΣ,ΑΤΤΙΚΗΣ - ΑΘΗΝΑΙΩΝ,ΘΕΣΣΑΛΙΑΣ - ΛΑΡΙΣΑΙΩΝ,ΣΤΕΡΕΑΣ ΕΛΛΑΔΑΣ - ΛΑΜΙΕΩΝ,ΠΕΛΟΠΟΝΝΗΣΟΥ - ΤΡΙΠΟΛΗΣ,ΙΟΝΙΩΝ ΝΗΣΩΝ - ΚΕΡΚΥΡΑΣ,ΚΡΗΤΗΣ - ΗΡΑΚΛΕΙΟΥ,ΔΥΤΙΚΗΣ ΕΛΛΑΔΑΣ - ΠΑΤΡΕΩΝ,ΔΥΤΙΚΗΣ ΜΑΚΕΔΟΝΙΑΣ - ΓΡΕΒΕΝΩΝ,ΗΠΕΙΡΟΥ - ΙΩΑΝΝΙΤΩΝ,ΚΕΝΤΡΙΚΗΣ ΜΑΚΕΔΟΝΙΑΣ - ΘΕΣΣΑΛΟΝΙΚΗΣ,ΝΟΤΙΟΥ ΑΙΓΑΙΟΥ - ΡΟΔΟΥ,ΒΟΡΕΙΟΥ ΑΙΓΑΙΟΥ - ΛΕΣΒΟΥ</v>
      </c>
      <c r="G18" s="6" t="s">
        <v>481</v>
      </c>
      <c r="H18" s="12" t="s">
        <v>446</v>
      </c>
      <c r="I18" s="301">
        <f>J$12</f>
        <v>24.576000000000001</v>
      </c>
      <c r="J18" s="187">
        <v>22.2422</v>
      </c>
      <c r="K18" s="269">
        <f t="shared" si="2"/>
        <v>22.24</v>
      </c>
      <c r="L18" s="240" t="str">
        <f t="shared" si="8"/>
        <v>Οι ονομαστικές ταχύτητες του πακέτου 1 δε μετρήθηκαν στα κέντρα Λάρισας, Λέσβου</v>
      </c>
      <c r="N18" s="101" t="str">
        <f t="shared" si="3"/>
        <v/>
      </c>
      <c r="O18" s="109" t="str">
        <f>IF(J12&lt;&gt;"",CONCATENATE(IF(AND(ISNUMBER(J18)=FALSE),"Η Τιμή (Mbps) πρέπει να είναι αριθμός.",IF(J18&lt;0,"  |  Η Τιμή (Mbps) πρέπει να είναι θετικός αριθμός","")),IF(AND(J18&lt;&gt;"",F18=""),"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</sheetData>
  <sheetProtection password="ECDD" sheet="1" objects="1" scenarios="1" formatColumns="0" formatRows="0" selectLockedCells="1"/>
  <conditionalFormatting sqref="N3">
    <cfRule type="cellIs" dxfId="13" priority="6" operator="equal">
      <formula>"ΣΦΑΛΜΑ"</formula>
    </cfRule>
  </conditionalFormatting>
  <conditionalFormatting sqref="N4:N18">
    <cfRule type="cellIs" dxfId="12" priority="5" operator="equal">
      <formula>"ΣΦΑΛΜΑ"</formula>
    </cfRule>
  </conditionalFormatting>
  <conditionalFormatting sqref="J8">
    <cfRule type="cellIs" dxfId="11" priority="3" operator="greaterThan">
      <formula>$J$6</formula>
    </cfRule>
    <cfRule type="cellIs" dxfId="10" priority="4" operator="lessThan">
      <formula>$J$10</formula>
    </cfRule>
  </conditionalFormatting>
  <conditionalFormatting sqref="J7">
    <cfRule type="cellIs" dxfId="9" priority="1" operator="greaterThan">
      <formula>$J$5</formula>
    </cfRule>
    <cfRule type="cellIs" dxfId="8" priority="2" operator="lessThan">
      <formula>$J$9</formula>
    </cfRule>
  </conditionalFormatting>
  <dataValidations count="5">
    <dataValidation type="list" allowBlank="1" showInputMessage="1" showErrorMessage="1" sqref="C3 C11">
      <formula1>ServiceType</formula1>
    </dataValidation>
    <dataValidation type="list" allowBlank="1" showInputMessage="1" showErrorMessage="1" sqref="G3:G18">
      <formula1>SpeedValue</formula1>
    </dataValidation>
    <dataValidation type="list" allowBlank="1" showInputMessage="1" showErrorMessage="1" sqref="H3:H18">
      <formula1>Direction_</formula1>
    </dataValidation>
    <dataValidation type="list" allowBlank="1" showInputMessage="1" showErrorMessage="1" sqref="J3 J11">
      <formula1>maxUp</formula1>
    </dataValidation>
    <dataValidation type="list" allowBlank="1" showInputMessage="1" showErrorMessage="1" sqref="J4 J12">
      <formula1>maxDown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35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"/>
  <sheetViews>
    <sheetView topLeftCell="A2" workbookViewId="0">
      <selection activeCell="H7" sqref="H7"/>
    </sheetView>
  </sheetViews>
  <sheetFormatPr defaultColWidth="0" defaultRowHeight="15" zeroHeight="1" x14ac:dyDescent="0.25"/>
  <cols>
    <col min="1" max="1" width="36" style="173" customWidth="1"/>
    <col min="2" max="5" width="23" style="173" hidden="1" customWidth="1"/>
    <col min="6" max="6" width="45.7109375" style="173" customWidth="1"/>
    <col min="7" max="7" width="23.28515625" style="173" customWidth="1"/>
    <col min="8" max="8" width="23.28515625" style="173" bestFit="1" customWidth="1"/>
    <col min="9" max="9" width="23.28515625" style="173" hidden="1" customWidth="1"/>
    <col min="10" max="10" width="23.28515625" style="173" customWidth="1"/>
    <col min="11" max="11" width="23.28515625" style="173" hidden="1" customWidth="1"/>
    <col min="12" max="12" width="23.28515625" style="173" customWidth="1"/>
    <col min="13" max="13" width="6.7109375" style="173" customWidth="1"/>
    <col min="14" max="14" width="11.85546875" style="173" customWidth="1"/>
    <col min="15" max="15" width="77" style="173" customWidth="1"/>
    <col min="16" max="16" width="0" style="173" hidden="1" customWidth="1"/>
    <col min="17" max="16384" width="9.140625" style="173" hidden="1"/>
  </cols>
  <sheetData>
    <row r="1" spans="1:15" ht="15.75" hidden="1" thickBot="1" x14ac:dyDescent="0.3">
      <c r="A1" t="s">
        <v>502</v>
      </c>
      <c r="B1" t="s">
        <v>501</v>
      </c>
      <c r="C1" s="83" t="s">
        <v>506</v>
      </c>
      <c r="D1" s="2" t="s">
        <v>900</v>
      </c>
      <c r="E1" s="2" t="s">
        <v>901</v>
      </c>
      <c r="F1" s="2" t="s">
        <v>513</v>
      </c>
      <c r="G1" s="2" t="s">
        <v>928</v>
      </c>
      <c r="H1" s="2" t="s">
        <v>516</v>
      </c>
      <c r="I1" s="2" t="s">
        <v>511</v>
      </c>
      <c r="J1" s="2" t="s">
        <v>516</v>
      </c>
      <c r="K1" s="2" t="s">
        <v>512</v>
      </c>
      <c r="L1" s="2" t="s">
        <v>509</v>
      </c>
      <c r="N1" s="65" t="s">
        <v>510</v>
      </c>
      <c r="O1" s="65" t="s">
        <v>510</v>
      </c>
    </row>
    <row r="2" spans="1:15" ht="45.75" thickBot="1" x14ac:dyDescent="0.3">
      <c r="A2" s="3" t="s">
        <v>422</v>
      </c>
      <c r="B2" s="4" t="s">
        <v>28</v>
      </c>
      <c r="C2" s="4" t="s">
        <v>545</v>
      </c>
      <c r="D2" s="4"/>
      <c r="E2" s="4"/>
      <c r="F2" s="4" t="s">
        <v>453</v>
      </c>
      <c r="G2" s="4" t="s">
        <v>443</v>
      </c>
      <c r="H2" s="4" t="s">
        <v>546</v>
      </c>
      <c r="I2" s="4" t="s">
        <v>546</v>
      </c>
      <c r="J2" s="4" t="s">
        <v>547</v>
      </c>
      <c r="K2" s="115" t="s">
        <v>547</v>
      </c>
      <c r="L2" s="22" t="s">
        <v>421</v>
      </c>
      <c r="N2" s="46" t="s">
        <v>452</v>
      </c>
      <c r="O2" s="107" t="s">
        <v>550</v>
      </c>
    </row>
    <row r="3" spans="1:15" ht="31.5" customHeight="1" thickTop="1" x14ac:dyDescent="0.25">
      <c r="A3" s="39" t="s">
        <v>454</v>
      </c>
      <c r="B3" s="71" t="str">
        <f>ΓΕΝΙΚΑ!C4</f>
        <v>OTE</v>
      </c>
      <c r="C3" s="111" t="s">
        <v>552</v>
      </c>
      <c r="D3" s="111">
        <f>IF(N3="",IF(ΓΕΝΙΚΑ!$B$17="ΝΑΙ",15300,""),"")</f>
        <v>15300</v>
      </c>
      <c r="E3" s="111" t="str">
        <f>IF(ΓΕΝΙΚΑ!$B$17="ΝΑΙ","ΠΑΝΕΛΛΑΔΙΚΑ","")</f>
        <v>ΠΑΝΕΛΛΑΔΙΚΑ</v>
      </c>
      <c r="F3" s="18" t="s">
        <v>455</v>
      </c>
      <c r="G3" s="18" t="s">
        <v>445</v>
      </c>
      <c r="H3" s="112">
        <v>80000</v>
      </c>
      <c r="I3" s="303">
        <f>IF(ISNUMBER(H3),ROUND(H3,0),"")</f>
        <v>80000</v>
      </c>
      <c r="J3" s="114">
        <v>1805286</v>
      </c>
      <c r="K3" s="303">
        <f>IF(ISNUMBER(J$3),ROUND(J$3,0),"")</f>
        <v>1805286</v>
      </c>
      <c r="L3" s="247"/>
      <c r="N3" s="98" t="str">
        <f>IF(O3="","","ΣΦΑΛΜΑ")</f>
        <v/>
      </c>
      <c r="O3" s="99" t="str">
        <f>CONCATENATE(IF(J3="","",IF(ISNUMBER(J3)=FALSE,"  |  Το μέσο πλήθος τελικών χρηστών πρέπει να είναι αριθμός.",IF(J3&lt;0,"   |   Το μέσο πλήθος τελικών χρηστών πρέπει να είναι θετικός αριθμός",""))),IF(AND(ISNUMBER(H3)=FALSE),"   |    Η μέση χωρητικότητα (Mbps) πρέπει να είναι αριθμός.",IF(H3&lt;0,"   |   Η μέση χωρητικότητα (Mbps) πρέπει να είναι θετικός αριθμός","")))</f>
        <v/>
      </c>
    </row>
    <row r="4" spans="1:15" ht="31.5" customHeight="1" x14ac:dyDescent="0.25">
      <c r="A4" s="41" t="str">
        <f t="shared" ref="A4:B4" si="0">A3</f>
        <v>B02</v>
      </c>
      <c r="B4" s="69" t="str">
        <f t="shared" si="0"/>
        <v>OTE</v>
      </c>
      <c r="C4" s="70" t="s">
        <v>552</v>
      </c>
      <c r="D4" s="111">
        <f>IF(N4="",IF(ΓΕΝΙΚΑ!$B$17="ΝΑΙ",15300,""),"")</f>
        <v>15300</v>
      </c>
      <c r="E4" s="111" t="str">
        <f>IF(ΓΕΝΙΚΑ!$B$17="ΝΑΙ","ΠΑΝΕΛΛΑΔΙΚΑ","")</f>
        <v>ΠΑΝΕΛΛΑΔΙΚΑ</v>
      </c>
      <c r="F4" s="67" t="s">
        <v>455</v>
      </c>
      <c r="G4" s="19" t="s">
        <v>446</v>
      </c>
      <c r="H4" s="113">
        <v>80000</v>
      </c>
      <c r="I4" s="303">
        <f t="shared" ref="I4:I8" si="1">IF(ISNUMBER(H4),ROUND(H4,0),"")</f>
        <v>80000</v>
      </c>
      <c r="J4" s="280">
        <f>$J$3</f>
        <v>1805286</v>
      </c>
      <c r="K4" s="303">
        <f t="shared" ref="K4:K8" si="2">IF(ISNUMBER(J$3),ROUND(J$3,0),"")</f>
        <v>1805286</v>
      </c>
      <c r="L4" s="241">
        <f>L$3</f>
        <v>0</v>
      </c>
      <c r="N4" s="100" t="str">
        <f t="shared" ref="N4:N8" si="3">IF(O4="","","ΣΦΑΛΜΑ")</f>
        <v/>
      </c>
      <c r="O4" s="99" t="str">
        <f>CONCATENATE(IF(OR(NOT(ISNUMBER(J4)),J4=""),"Το μέσο πλήθος τελικών χρηστών πρέπει να είναι αριθμός.",IF(J4&lt;0,"   |   Το μέσο πλήθος τελικών χρηστών πρέπει να είναι θετικός αριθμός","")),IF(OR(NOT(ISNUMBER(H4)),H4=""),"   |    Η μέση χωρητικότητα (Mbps) πρέπει να είναι αριθμός.",IF(H4&lt;0,"   |   Η μέση χωρητικότητα (Mbps) πρέπει να είναι θετικός αριθμός","")))</f>
        <v/>
      </c>
    </row>
    <row r="5" spans="1:15" ht="31.5" customHeight="1" x14ac:dyDescent="0.25">
      <c r="A5" s="41" t="str">
        <f>A3</f>
        <v>B02</v>
      </c>
      <c r="B5" s="69" t="str">
        <f>B3</f>
        <v>OTE</v>
      </c>
      <c r="C5" s="70" t="s">
        <v>552</v>
      </c>
      <c r="D5" s="111">
        <f>IF(N5="",IF(ΓΕΝΙΚΑ!$B$17="ΝΑΙ",15300,""),"")</f>
        <v>15300</v>
      </c>
      <c r="E5" s="111" t="str">
        <f>IF(ΓΕΝΙΚΑ!$B$17="ΝΑΙ","ΠΑΝΕΛΛΑΔΙΚΑ","")</f>
        <v>ΠΑΝΕΛΛΑΔΙΚΑ</v>
      </c>
      <c r="F5" s="67" t="s">
        <v>456</v>
      </c>
      <c r="G5" s="19" t="s">
        <v>445</v>
      </c>
      <c r="H5" s="113">
        <v>630000</v>
      </c>
      <c r="I5" s="303">
        <f t="shared" si="1"/>
        <v>630000</v>
      </c>
      <c r="J5" s="66">
        <f t="shared" ref="J5:J8" si="4">$J$3</f>
        <v>1805286</v>
      </c>
      <c r="K5" s="303">
        <f t="shared" si="2"/>
        <v>1805286</v>
      </c>
      <c r="L5" s="241">
        <f t="shared" ref="L5:L8" si="5">L$3</f>
        <v>0</v>
      </c>
      <c r="N5" s="100" t="str">
        <f t="shared" si="3"/>
        <v/>
      </c>
      <c r="O5" s="99" t="str">
        <f t="shared" ref="O5:O8" si="6">CONCATENATE(IF(OR(NOT(ISNUMBER(J5)),J5=""),"Το μέσο πλήθος τελικών χρηστών πρέπει να είναι αριθμός.",IF(J5&lt;0,"   |   Το μέσο πλήθος τελικών χρηστών πρέπει να είναι θετικός αριθμός","")),IF(OR(NOT(ISNUMBER(H5)),H5=""),"   |    Η μέση χωρητικότητα (Mbps) πρέπει να είναι αριθμός.",IF(H5&lt;0,"   |   Η μέση χωρητικότητα (Mbps) πρέπει να είναι θετικός αριθμός","")))</f>
        <v/>
      </c>
    </row>
    <row r="6" spans="1:15" ht="31.5" customHeight="1" x14ac:dyDescent="0.25">
      <c r="A6" s="41" t="str">
        <f>A3</f>
        <v>B02</v>
      </c>
      <c r="B6" s="69" t="str">
        <f>B3</f>
        <v>OTE</v>
      </c>
      <c r="C6" s="70" t="s">
        <v>552</v>
      </c>
      <c r="D6" s="111">
        <f>IF(N6="",IF(ΓΕΝΙΚΑ!$B$17="ΝΑΙ",15300,""),"")</f>
        <v>15300</v>
      </c>
      <c r="E6" s="111" t="str">
        <f>IF(ΓΕΝΙΚΑ!$B$17="ΝΑΙ","ΠΑΝΕΛΛΑΔΙΚΑ","")</f>
        <v>ΠΑΝΕΛΛΑΔΙΚΑ</v>
      </c>
      <c r="F6" s="67" t="s">
        <v>456</v>
      </c>
      <c r="G6" s="19" t="s">
        <v>446</v>
      </c>
      <c r="H6" s="113">
        <v>630000</v>
      </c>
      <c r="I6" s="303">
        <f t="shared" si="1"/>
        <v>630000</v>
      </c>
      <c r="J6" s="66">
        <f t="shared" si="4"/>
        <v>1805286</v>
      </c>
      <c r="K6" s="303">
        <f t="shared" si="2"/>
        <v>1805286</v>
      </c>
      <c r="L6" s="241">
        <f t="shared" si="5"/>
        <v>0</v>
      </c>
      <c r="N6" s="100" t="str">
        <f t="shared" si="3"/>
        <v/>
      </c>
      <c r="O6" s="99" t="str">
        <f t="shared" si="6"/>
        <v/>
      </c>
    </row>
    <row r="7" spans="1:15" ht="31.5" customHeight="1" x14ac:dyDescent="0.25">
      <c r="A7" s="41" t="str">
        <f>A3</f>
        <v>B02</v>
      </c>
      <c r="B7" s="69" t="str">
        <f>B3</f>
        <v>OTE</v>
      </c>
      <c r="C7" s="70" t="s">
        <v>552</v>
      </c>
      <c r="D7" s="111">
        <f>IF(N7="",IF(ΓΕΝΙΚΑ!$B$17="ΝΑΙ",15300,""),"")</f>
        <v>15300</v>
      </c>
      <c r="E7" s="111" t="str">
        <f>IF(ΓΕΝΙΚΑ!$B$17="ΝΑΙ","ΠΑΝΕΛΛΑΔΙΚΑ","")</f>
        <v>ΠΑΝΕΛΛΑΔΙΚΑ</v>
      </c>
      <c r="F7" s="67" t="s">
        <v>457</v>
      </c>
      <c r="G7" s="19" t="s">
        <v>445</v>
      </c>
      <c r="H7" s="113">
        <v>2743316</v>
      </c>
      <c r="I7" s="303">
        <f t="shared" si="1"/>
        <v>2743316</v>
      </c>
      <c r="J7" s="66">
        <f t="shared" si="4"/>
        <v>1805286</v>
      </c>
      <c r="K7" s="303">
        <f t="shared" si="2"/>
        <v>1805286</v>
      </c>
      <c r="L7" s="241">
        <f t="shared" si="5"/>
        <v>0</v>
      </c>
      <c r="N7" s="100" t="str">
        <f t="shared" si="3"/>
        <v/>
      </c>
      <c r="O7" s="99" t="str">
        <f t="shared" si="6"/>
        <v/>
      </c>
    </row>
    <row r="8" spans="1:15" ht="31.5" customHeight="1" thickBot="1" x14ac:dyDescent="0.3">
      <c r="A8" s="42" t="str">
        <f>A3</f>
        <v>B02</v>
      </c>
      <c r="B8" s="72" t="str">
        <f>B3</f>
        <v>OTE</v>
      </c>
      <c r="C8" s="73" t="s">
        <v>552</v>
      </c>
      <c r="D8" s="111">
        <f>IF(N8="",IF(ΓΕΝΙΚΑ!$B$17="ΝΑΙ",15300,""),"")</f>
        <v>15300</v>
      </c>
      <c r="E8" s="111" t="str">
        <f>IF(ΓΕΝΙΚΑ!$B$17="ΝΑΙ","ΠΑΝΕΛΛΑΔΙΚΑ","")</f>
        <v>ΠΑΝΕΛΛΑΔΙΚΑ</v>
      </c>
      <c r="F8" s="68" t="s">
        <v>457</v>
      </c>
      <c r="G8" s="20" t="s">
        <v>446</v>
      </c>
      <c r="H8" s="113">
        <v>45249016</v>
      </c>
      <c r="I8" s="303">
        <f t="shared" si="1"/>
        <v>45249016</v>
      </c>
      <c r="J8" s="74">
        <f t="shared" si="4"/>
        <v>1805286</v>
      </c>
      <c r="K8" s="303">
        <f t="shared" si="2"/>
        <v>1805286</v>
      </c>
      <c r="L8" s="270">
        <f t="shared" si="5"/>
        <v>0</v>
      </c>
      <c r="N8" s="101" t="str">
        <f t="shared" si="3"/>
        <v/>
      </c>
      <c r="O8" s="110" t="str">
        <f t="shared" si="6"/>
        <v/>
      </c>
    </row>
  </sheetData>
  <sheetProtection algorithmName="SHA-512" hashValue="QYYihZkTOFT++lQsOuLqYVnyrw9ie8MeOoSJBtpZHxjV1C5zONNwiR72O9KcmXrHOPgXn1hQZY0p1zEmnmJpug==" saltValue="PyBDXWC4O7FLub30XDO17g==" spinCount="100000" sheet="1" objects="1" scenarios="1" formatColumns="0" formatRows="0" selectLockedCells="1"/>
  <conditionalFormatting sqref="N4:N8">
    <cfRule type="cellIs" dxfId="7" priority="1" operator="equal">
      <formula>"ΣΦΑΛΜΑ"</formula>
    </cfRule>
  </conditionalFormatting>
  <conditionalFormatting sqref="N3">
    <cfRule type="cellIs" dxfId="6" priority="2" operator="equal">
      <formula>"ΣΦΑΛΜΑ"</formula>
    </cfRule>
  </conditionalFormatting>
  <dataValidations disablePrompts="1" count="2">
    <dataValidation type="list" allowBlank="1" showInputMessage="1" showErrorMessage="1" sqref="G3:G8">
      <formula1>Direction</formula1>
    </dataValidation>
    <dataValidation type="list" allowBlank="1" showInputMessage="1" showErrorMessage="1" sqref="F3:F8">
      <formula1>Capacity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1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"/>
  <sheetViews>
    <sheetView topLeftCell="A2" zoomScaleNormal="100" workbookViewId="0">
      <selection activeCell="I10" sqref="I10"/>
    </sheetView>
  </sheetViews>
  <sheetFormatPr defaultColWidth="0" defaultRowHeight="15" zeroHeight="1" x14ac:dyDescent="0.25"/>
  <cols>
    <col min="1" max="1" width="50" style="173" customWidth="1"/>
    <col min="2" max="2" width="23" style="173" hidden="1" customWidth="1"/>
    <col min="3" max="3" width="23" style="173" customWidth="1"/>
    <col min="4" max="4" width="25.140625" style="218" hidden="1" customWidth="1"/>
    <col min="5" max="5" width="40" style="218" hidden="1" customWidth="1"/>
    <col min="6" max="6" width="37.7109375" style="173" customWidth="1"/>
    <col min="7" max="7" width="32.140625" style="258" hidden="1" customWidth="1"/>
    <col min="8" max="8" width="17.28515625" style="173" customWidth="1"/>
    <col min="9" max="9" width="36.140625" style="173" customWidth="1"/>
    <col min="10" max="10" width="24" style="173" hidden="1" customWidth="1"/>
    <col min="11" max="11" width="38.85546875" style="173" customWidth="1"/>
    <col min="12" max="12" width="5.42578125" style="173" customWidth="1"/>
    <col min="13" max="13" width="13" style="173" customWidth="1"/>
    <col min="14" max="14" width="82.5703125" style="173" customWidth="1"/>
    <col min="15" max="15" width="0" style="173" hidden="1" customWidth="1"/>
    <col min="16" max="16384" width="9.140625" style="173" hidden="1"/>
  </cols>
  <sheetData>
    <row r="1" spans="1:14" ht="15.75" hidden="1" thickBot="1" x14ac:dyDescent="0.3">
      <c r="A1" t="s">
        <v>502</v>
      </c>
      <c r="B1" t="s">
        <v>501</v>
      </c>
      <c r="C1" s="83" t="s">
        <v>503</v>
      </c>
      <c r="D1" s="215" t="s">
        <v>900</v>
      </c>
      <c r="E1" s="215" t="s">
        <v>901</v>
      </c>
      <c r="F1" s="83" t="s">
        <v>506</v>
      </c>
      <c r="G1" s="83" t="s">
        <v>925</v>
      </c>
      <c r="H1" s="83" t="s">
        <v>514</v>
      </c>
      <c r="I1" s="83" t="s">
        <v>516</v>
      </c>
      <c r="J1" s="83" t="s">
        <v>515</v>
      </c>
      <c r="K1" s="83" t="s">
        <v>509</v>
      </c>
      <c r="M1" t="s">
        <v>516</v>
      </c>
      <c r="N1" t="s">
        <v>516</v>
      </c>
    </row>
    <row r="2" spans="1:14" s="179" customFormat="1" ht="34.5" customHeight="1" thickBot="1" x14ac:dyDescent="0.3">
      <c r="A2" s="3" t="s">
        <v>422</v>
      </c>
      <c r="B2" s="4" t="s">
        <v>28</v>
      </c>
      <c r="C2" s="4" t="s">
        <v>433</v>
      </c>
      <c r="D2" s="216"/>
      <c r="E2" s="216"/>
      <c r="F2" s="4" t="s">
        <v>551</v>
      </c>
      <c r="G2" s="232" t="s">
        <v>924</v>
      </c>
      <c r="H2" s="4" t="s">
        <v>483</v>
      </c>
      <c r="I2" s="106" t="s">
        <v>549</v>
      </c>
      <c r="J2" s="85" t="s">
        <v>459</v>
      </c>
      <c r="K2" s="96" t="s">
        <v>421</v>
      </c>
      <c r="M2" s="103" t="s">
        <v>452</v>
      </c>
      <c r="N2" s="104" t="s">
        <v>550</v>
      </c>
    </row>
    <row r="3" spans="1:14" ht="148.5" customHeight="1" thickTop="1" x14ac:dyDescent="0.25">
      <c r="A3" s="77" t="s">
        <v>469</v>
      </c>
      <c r="B3" s="18" t="str">
        <f>ΓΕΝΙΚΑ!C4</f>
        <v>OTE</v>
      </c>
      <c r="C3" s="95" t="s">
        <v>434</v>
      </c>
      <c r="D3" s="217"/>
      <c r="E3" s="217"/>
      <c r="F3" s="290" t="s">
        <v>939</v>
      </c>
      <c r="G3" s="238"/>
      <c r="H3" s="60" t="s">
        <v>484</v>
      </c>
      <c r="I3" s="144">
        <f>$I$5</f>
        <v>0.32</v>
      </c>
      <c r="J3" s="268">
        <f>IF(ISNUMBER(I$5),ROUND(I$5,2),"")</f>
        <v>0.32</v>
      </c>
      <c r="K3" s="242" t="s">
        <v>954</v>
      </c>
      <c r="M3" s="98" t="str">
        <f>IF(N3="","","ΣΦΑΛΜΑ")</f>
        <v/>
      </c>
      <c r="N3" s="99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9" t="str">
        <f>$A$3</f>
        <v>B03</v>
      </c>
      <c r="B4" s="90" t="str">
        <f>$B$3</f>
        <v>OTE</v>
      </c>
      <c r="C4" s="94" t="str">
        <f>$C$3</f>
        <v>Άμεση</v>
      </c>
      <c r="D4" s="217"/>
      <c r="E4" s="217"/>
      <c r="F4" s="291" t="s">
        <v>952</v>
      </c>
      <c r="G4" s="238"/>
      <c r="H4" s="60" t="str">
        <f t="shared" ref="H4" si="0">$H$3</f>
        <v>Εθνικές</v>
      </c>
      <c r="I4" s="141">
        <f>$I$5</f>
        <v>0.32</v>
      </c>
      <c r="J4" s="268">
        <f t="shared" ref="J4:J7" si="1">IF(ISNUMBER(I$5),ROUND(I$5,2),"")</f>
        <v>0.32</v>
      </c>
      <c r="K4" s="243" t="str">
        <f>$K$3</f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4" s="100" t="str">
        <f t="shared" ref="M4:M12" si="2">IF(N4="","","ΣΦΑΛΜΑ")</f>
        <v/>
      </c>
      <c r="N4" s="99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9" t="str">
        <f>$A$3</f>
        <v>B03</v>
      </c>
      <c r="B5" s="90" t="str">
        <f t="shared" ref="B5:B12" si="3">$B$3</f>
        <v>OTE</v>
      </c>
      <c r="C5" s="94" t="str">
        <f t="shared" ref="C5:C12" si="4">$C$3</f>
        <v>Άμεση</v>
      </c>
      <c r="D5" s="217">
        <v>15300</v>
      </c>
      <c r="E5" s="217" t="s">
        <v>552</v>
      </c>
      <c r="F5" s="292" t="s">
        <v>940</v>
      </c>
      <c r="G5" s="238" t="str">
        <f>CONCATENATE(F3,", ",F4,", ",F5,", ",F6,", ",F7)</f>
        <v>ΑΤΤΙΚΗΣ - ΑΘΗΝΑΙΩΝ, ΚΕΝΤΡΙΚΗΣ ΜΑΚΕΔΟΝΙΑΣ - ΚΑΤΕΡΙΝΗΣ, ΘΕΣΣΑΛΙΑΣ - ΛΑΡΙΣΑΙΩΝ, ΙΟΝΙΩΝ ΝΗΣΩΝ - ΚΕΡΚΥΡΑΣ, ΝΟΤΙΟΥ ΑΙΓΑΙΟΥ - ΡΟΔΟΥ</v>
      </c>
      <c r="H5" s="60" t="str">
        <f>$H$3</f>
        <v>Εθνικές</v>
      </c>
      <c r="I5" s="97">
        <v>0.32</v>
      </c>
      <c r="J5" s="268">
        <f t="shared" si="1"/>
        <v>0.32</v>
      </c>
      <c r="K5" s="244" t="str">
        <f t="shared" ref="K5:K12" si="5">$K$3</f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5" s="100" t="str">
        <f t="shared" si="2"/>
        <v/>
      </c>
      <c r="N5" s="99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9" t="str">
        <f t="shared" ref="A6:A12" si="6">$A$3</f>
        <v>B03</v>
      </c>
      <c r="B6" s="90" t="str">
        <f t="shared" si="3"/>
        <v>OTE</v>
      </c>
      <c r="C6" s="94" t="str">
        <f t="shared" si="4"/>
        <v>Άμεση</v>
      </c>
      <c r="D6" s="217"/>
      <c r="E6" s="217"/>
      <c r="F6" s="291" t="s">
        <v>943</v>
      </c>
      <c r="G6" s="238"/>
      <c r="H6" s="60" t="str">
        <f t="shared" ref="H6:H7" si="7">$H$3</f>
        <v>Εθνικές</v>
      </c>
      <c r="I6" s="141">
        <f t="shared" ref="I6:I7" si="8">$I$5</f>
        <v>0.32</v>
      </c>
      <c r="J6" s="268">
        <f t="shared" si="1"/>
        <v>0.32</v>
      </c>
      <c r="K6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6" s="100" t="str">
        <f t="shared" si="2"/>
        <v/>
      </c>
      <c r="N6" s="99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9" t="str">
        <f t="shared" si="6"/>
        <v>B03</v>
      </c>
      <c r="B7" s="91" t="str">
        <f t="shared" si="3"/>
        <v>OTE</v>
      </c>
      <c r="C7" s="94" t="str">
        <f t="shared" si="4"/>
        <v>Άμεση</v>
      </c>
      <c r="D7" s="217"/>
      <c r="E7" s="217"/>
      <c r="F7" s="293" t="s">
        <v>950</v>
      </c>
      <c r="G7" s="82"/>
      <c r="H7" s="82" t="str">
        <f t="shared" si="7"/>
        <v>Εθνικές</v>
      </c>
      <c r="I7" s="142">
        <f t="shared" si="8"/>
        <v>0.32</v>
      </c>
      <c r="J7" s="268">
        <f t="shared" si="1"/>
        <v>0.32</v>
      </c>
      <c r="K7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7" s="100" t="str">
        <f t="shared" si="2"/>
        <v/>
      </c>
      <c r="N7" s="99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9" t="str">
        <f t="shared" si="6"/>
        <v>B03</v>
      </c>
      <c r="B8" s="90" t="str">
        <f t="shared" si="3"/>
        <v>OTE</v>
      </c>
      <c r="C8" s="94" t="str">
        <f t="shared" si="4"/>
        <v>Άμεση</v>
      </c>
      <c r="D8" s="217"/>
      <c r="E8" s="217"/>
      <c r="F8" s="294" t="str">
        <f>TEXT(F3,)</f>
        <v>ΑΤΤΙΚΗΣ - ΑΘΗΝΑΙΩΝ</v>
      </c>
      <c r="G8" s="238"/>
      <c r="H8" s="60" t="s">
        <v>485</v>
      </c>
      <c r="I8" s="141" t="str">
        <f>$I$10</f>
        <v>N/A</v>
      </c>
      <c r="J8" s="268" t="str">
        <f>IF(ISNUMBER(I$10),ROUND(I$10,2),"")</f>
        <v/>
      </c>
      <c r="K8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8" s="100" t="str">
        <f t="shared" si="2"/>
        <v>ΣΦΑΛΜΑ</v>
      </c>
      <c r="N8" s="99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>Το Ποσοστό Αποτυχημένων Κλήσεων πρέπει να είναι αριθμός.</v>
      </c>
    </row>
    <row r="9" spans="1:14" ht="30" customHeight="1" x14ac:dyDescent="0.25">
      <c r="A9" s="89" t="str">
        <f t="shared" si="6"/>
        <v>B03</v>
      </c>
      <c r="B9" s="90" t="str">
        <f t="shared" si="3"/>
        <v>OTE</v>
      </c>
      <c r="C9" s="94" t="str">
        <f t="shared" si="4"/>
        <v>Άμεση</v>
      </c>
      <c r="D9" s="217"/>
      <c r="E9" s="217"/>
      <c r="F9" s="294" t="str">
        <f t="shared" ref="F9:F12" si="9">TEXT(F4,)</f>
        <v>ΚΕΝΤΡΙΚΗΣ ΜΑΚΕΔΟΝΙΑΣ - ΚΑΤΕΡΙΝΗΣ</v>
      </c>
      <c r="G9" s="238"/>
      <c r="H9" s="60" t="str">
        <f>$H$8</f>
        <v>Διεθνείς</v>
      </c>
      <c r="I9" s="141" t="str">
        <f>$I$10</f>
        <v>N/A</v>
      </c>
      <c r="J9" s="268" t="str">
        <f t="shared" ref="J9:J12" si="10">IF(ISNUMBER(I$10),ROUND(I$10,2),"")</f>
        <v/>
      </c>
      <c r="K9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9" s="100" t="str">
        <f t="shared" si="2"/>
        <v>ΣΦΑΛΜΑ</v>
      </c>
      <c r="N9" s="99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>Το Ποσοστό Αποτυχημένων Κλήσεων πρέπει να είναι αριθμός.</v>
      </c>
    </row>
    <row r="10" spans="1:14" ht="30" customHeight="1" x14ac:dyDescent="0.25">
      <c r="A10" s="89" t="str">
        <f t="shared" si="6"/>
        <v>B03</v>
      </c>
      <c r="B10" s="90" t="str">
        <f t="shared" si="3"/>
        <v>OTE</v>
      </c>
      <c r="C10" s="94" t="str">
        <f t="shared" si="4"/>
        <v>Άμεση</v>
      </c>
      <c r="D10" s="217">
        <v>15300</v>
      </c>
      <c r="E10" s="217" t="s">
        <v>552</v>
      </c>
      <c r="F10" s="294" t="str">
        <f t="shared" si="9"/>
        <v>ΘΕΣΣΑΛΙΑΣ - ΛΑΡΙΣΑΙΩΝ</v>
      </c>
      <c r="G10" s="238" t="str">
        <f>G5</f>
        <v>ΑΤΤΙΚΗΣ - ΑΘΗΝΑΙΩΝ, ΚΕΝΤΡΙΚΗΣ ΜΑΚΕΔΟΝΙΑΣ - ΚΑΤΕΡΙΝΗΣ, ΘΕΣΣΑΛΙΑΣ - ΛΑΡΙΣΑΙΩΝ, ΙΟΝΙΩΝ ΝΗΣΩΝ - ΚΕΡΚΥΡΑΣ, ΝΟΤΙΟΥ ΑΙΓΑΙΟΥ - ΡΟΔΟΥ</v>
      </c>
      <c r="H10" s="60" t="str">
        <f t="shared" ref="H10:H12" si="11">$H$8</f>
        <v>Διεθνείς</v>
      </c>
      <c r="I10" s="97" t="s">
        <v>958</v>
      </c>
      <c r="J10" s="268" t="str">
        <f t="shared" si="10"/>
        <v/>
      </c>
      <c r="K10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10" s="100" t="str">
        <f t="shared" si="2"/>
        <v>ΣΦΑΛΜΑ</v>
      </c>
      <c r="N10" s="99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9" t="str">
        <f t="shared" si="6"/>
        <v>B03</v>
      </c>
      <c r="B11" s="92" t="str">
        <f t="shared" si="3"/>
        <v>OTE</v>
      </c>
      <c r="C11" s="94" t="str">
        <f t="shared" si="4"/>
        <v>Άμεση</v>
      </c>
      <c r="D11" s="217"/>
      <c r="E11" s="217"/>
      <c r="F11" s="295" t="str">
        <f t="shared" si="9"/>
        <v>ΙΟΝΙΩΝ ΝΗΣΩΝ - ΚΕΡΚΥΡΑΣ</v>
      </c>
      <c r="G11" s="75"/>
      <c r="H11" s="75" t="str">
        <f t="shared" si="11"/>
        <v>Διεθνείς</v>
      </c>
      <c r="I11" s="141" t="str">
        <f t="shared" ref="I11:I12" si="12">$I$10</f>
        <v>N/A</v>
      </c>
      <c r="J11" s="268" t="str">
        <f t="shared" si="10"/>
        <v/>
      </c>
      <c r="K11" s="244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11" s="100" t="str">
        <f t="shared" si="2"/>
        <v>ΣΦΑΛΜΑ</v>
      </c>
      <c r="N11" s="99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>Το Ποσοστό Αποτυχημένων Κλήσεων πρέπει να είναι αριθμός.</v>
      </c>
    </row>
    <row r="12" spans="1:14" ht="30" customHeight="1" thickBot="1" x14ac:dyDescent="0.3">
      <c r="A12" s="79" t="str">
        <f t="shared" si="6"/>
        <v>B03</v>
      </c>
      <c r="B12" s="93" t="str">
        <f t="shared" si="3"/>
        <v>OTE</v>
      </c>
      <c r="C12" s="81" t="str">
        <f t="shared" si="4"/>
        <v>Άμεση</v>
      </c>
      <c r="D12" s="217"/>
      <c r="E12" s="217"/>
      <c r="F12" s="296" t="str">
        <f t="shared" si="9"/>
        <v>ΝΟΤΙΟΥ ΑΙΓΑΙΟΥ - ΡΟΔΟΥ</v>
      </c>
      <c r="G12" s="289"/>
      <c r="H12" s="105" t="str">
        <f t="shared" si="11"/>
        <v>Διεθνείς</v>
      </c>
      <c r="I12" s="143" t="str">
        <f t="shared" si="12"/>
        <v>N/A</v>
      </c>
      <c r="J12" s="268" t="str">
        <f t="shared" si="10"/>
        <v/>
      </c>
      <c r="K12" s="245" t="str">
        <f t="shared" si="5"/>
        <v>ΤΚ στα οποία πραγματοποιήθηκαν μετρήσεις: ΑΘΗΝΑΙΩΝ, ΚΑΤΕΡΙΝΗΣ, ΛΑΡΙΣΑΙΩΝ, ΚΕΡΚΥΡΑΣ, ΡΟΔΟΥ, ΗΡΑΚΛΕΙΟΥ, ΚΑΛΑΜΑΤΑΣ 
Εθνικές κλήσεις προς: ΟΤΕ Αθήνα, ΟΤΕ Χανιά, ΟΤΕ Ηγουμενίτσα, ΟΤΕ Θεσσαλονίκη, Forthnet Αθήνα, Forthnet Θεσσαλονίκη, Tellas Αθήνα, Tellas Θεσσαλονίκη, Cosmote, Vodafone</v>
      </c>
      <c r="M12" s="101" t="str">
        <f t="shared" si="2"/>
        <v>ΣΦΑΛΜΑ</v>
      </c>
      <c r="N12" s="102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>Το Ποσοστό Αποτυχημένων Κλήσεων πρέπει να είναι αριθμός.</v>
      </c>
    </row>
  </sheetData>
  <sheetProtection algorithmName="SHA-512" hashValue="oSxwgobWyIXmXecg/eNGeWYJW4xkjybElh0O7u8/E+dWzhzNhRU58Zt0UsQPzMlJ2v2Hw10/KUVpt36Nev3nUQ==" saltValue="5/erohRfPyCbnNSnbE2Shg==" spinCount="100000" sheet="1" objects="1" scenarios="1" formatColumns="0" formatRows="0" selectLockedCell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>
      <formula1>ServiceType</formula1>
    </dataValidation>
    <dataValidation type="list" allowBlank="1" showInputMessage="1" showErrorMessage="1" sqref="H3:H12">
      <formula1>CallType</formula1>
    </dataValidation>
    <dataValidation type="list" allowBlank="1" showInputMessage="1" showErrorMessage="1" sqref="F3:F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"/>
  <sheetViews>
    <sheetView topLeftCell="A2" workbookViewId="0">
      <selection activeCell="N3" sqref="N3"/>
    </sheetView>
  </sheetViews>
  <sheetFormatPr defaultColWidth="0" defaultRowHeight="15" zeroHeight="1" x14ac:dyDescent="0.25"/>
  <cols>
    <col min="1" max="1" width="39" style="173" customWidth="1"/>
    <col min="2" max="2" width="23" style="173" hidden="1" customWidth="1"/>
    <col min="3" max="3" width="23" style="173" customWidth="1"/>
    <col min="4" max="4" width="30.140625" style="173" customWidth="1"/>
    <col min="5" max="6" width="33.28515625" style="173" hidden="1" customWidth="1"/>
    <col min="7" max="7" width="41.85546875" style="173" customWidth="1"/>
    <col min="8" max="8" width="23" style="173" customWidth="1"/>
    <col min="9" max="9" width="16" style="173" customWidth="1"/>
    <col min="10" max="10" width="32" style="173" customWidth="1"/>
    <col min="11" max="12" width="23.7109375" style="173" hidden="1" customWidth="1"/>
    <col min="13" max="13" width="17.28515625" style="173" customWidth="1"/>
    <col min="14" max="14" width="40.42578125" style="173" customWidth="1"/>
    <col min="15" max="15" width="6.28515625" style="180" customWidth="1"/>
    <col min="16" max="16" width="13.42578125" style="173" customWidth="1"/>
    <col min="17" max="17" width="69.85546875" style="173" customWidth="1"/>
    <col min="18" max="18" width="56.42578125" style="173" hidden="1" customWidth="1"/>
    <col min="19" max="16384" width="9.140625" style="173" hidden="1"/>
  </cols>
  <sheetData>
    <row r="1" spans="1:17" ht="15.75" hidden="1" customHeight="1" thickBot="1" x14ac:dyDescent="0.3">
      <c r="A1" t="s">
        <v>502</v>
      </c>
      <c r="B1" t="s">
        <v>501</v>
      </c>
      <c r="C1" s="83" t="s">
        <v>503</v>
      </c>
      <c r="D1" s="83" t="s">
        <v>507</v>
      </c>
      <c r="E1" s="2" t="s">
        <v>900</v>
      </c>
      <c r="F1" s="2" t="s">
        <v>901</v>
      </c>
      <c r="G1" s="2" t="s">
        <v>506</v>
      </c>
      <c r="H1" s="2" t="s">
        <v>505</v>
      </c>
      <c r="I1" s="83" t="s">
        <v>516</v>
      </c>
      <c r="J1" s="76" t="s">
        <v>516</v>
      </c>
      <c r="K1" s="83" t="s">
        <v>517</v>
      </c>
      <c r="L1" t="s">
        <v>518</v>
      </c>
      <c r="M1" t="s">
        <v>519</v>
      </c>
      <c r="N1" t="s">
        <v>509</v>
      </c>
      <c r="P1" s="76" t="s">
        <v>516</v>
      </c>
      <c r="Q1" s="76" t="s">
        <v>516</v>
      </c>
    </row>
    <row r="2" spans="1:17" ht="60.75" customHeight="1" thickBot="1" x14ac:dyDescent="0.3">
      <c r="A2" s="3" t="s">
        <v>422</v>
      </c>
      <c r="B2" s="4" t="s">
        <v>28</v>
      </c>
      <c r="C2" s="4" t="s">
        <v>433</v>
      </c>
      <c r="D2" s="4" t="s">
        <v>920</v>
      </c>
      <c r="E2" s="4"/>
      <c r="F2" s="4"/>
      <c r="G2" s="4" t="s">
        <v>553</v>
      </c>
      <c r="H2" s="4" t="s">
        <v>554</v>
      </c>
      <c r="I2" s="4" t="s">
        <v>461</v>
      </c>
      <c r="J2" s="4" t="s">
        <v>555</v>
      </c>
      <c r="K2" s="85" t="s">
        <v>429</v>
      </c>
      <c r="L2" s="85" t="s">
        <v>520</v>
      </c>
      <c r="M2" s="85" t="s">
        <v>423</v>
      </c>
      <c r="N2" s="96" t="s">
        <v>421</v>
      </c>
      <c r="O2" s="181"/>
      <c r="P2" s="124" t="s">
        <v>452</v>
      </c>
      <c r="Q2" s="107" t="s">
        <v>550</v>
      </c>
    </row>
    <row r="3" spans="1:17" ht="95.25" customHeight="1" thickTop="1" x14ac:dyDescent="0.25">
      <c r="A3" s="77" t="s">
        <v>460</v>
      </c>
      <c r="B3" s="78" t="str">
        <f>ΓΕΝΙΚΑ!C4</f>
        <v>OTE</v>
      </c>
      <c r="C3" s="183" t="s">
        <v>434</v>
      </c>
      <c r="D3" s="121">
        <v>1</v>
      </c>
      <c r="E3" s="211">
        <f>IF(P3="",IF(ΓΕΝΙΚΑ!$B$19="ΝΑΙ",_xlfn.IFNA(INDEX(OrchardIDnai,MATCH(G3,DimosNameNai,0)),""),""),"")</f>
        <v>13946</v>
      </c>
      <c r="F3" s="211" t="str">
        <f>IF(ΓΕΝΙΚΑ!$B$19="ΝΑΙ",_xlfn.IFNA(INDEX(OrchardNameNai,MATCH(G3,DimosNameNai,0)),""),"")</f>
        <v>Αθηναίων</v>
      </c>
      <c r="G3" s="129" t="s">
        <v>939</v>
      </c>
      <c r="H3" s="116" t="s">
        <v>445</v>
      </c>
      <c r="I3" s="131" t="s">
        <v>430</v>
      </c>
      <c r="J3" s="131"/>
      <c r="K3" s="184" t="str">
        <f>IF(I3="","",IF(I3="Άλλο",IF(J3="","",J3),TEXT(I3,)))</f>
        <v>POTS</v>
      </c>
      <c r="L3" s="120">
        <f t="shared" ref="L3" si="0">IF(M3="ΠΟΛΥ ΥΨΗΛΗ", 5,IF(M3="ΥΨΗΛΗ",4,IF(M3="ΜΕΣΗ",3,IF(M3="ΧΑΜΗΛΗ",2,IF(M3="ΠΟΛΥ ΧΑΜΗΛΗ",1,0)))))</f>
        <v>5</v>
      </c>
      <c r="M3" s="131" t="s">
        <v>424</v>
      </c>
      <c r="N3" s="189" t="s">
        <v>955</v>
      </c>
      <c r="O3" s="182"/>
      <c r="P3" s="125" t="str">
        <f t="shared" ref="P3:P6" si="1">IF(Q3="","","ΣΦΑΛΜΑ")</f>
        <v/>
      </c>
      <c r="Q3" s="146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9" t="e">
        <f>#REF!</f>
        <v>#REF!</v>
      </c>
      <c r="B4" s="119" t="str">
        <f>B3</f>
        <v>OTE</v>
      </c>
      <c r="C4" s="94" t="str">
        <f>C$3</f>
        <v>Άμεση</v>
      </c>
      <c r="D4" s="122">
        <v>1</v>
      </c>
      <c r="E4" s="212">
        <f>IF(P4="",IF(ΓΕΝΙΚΑ!$B$19="ΝΑΙ",_xlfn.IFNA(INDEX(OrchardIDnai,MATCH(G4,DimosNameNai,0)),""),""),"")</f>
        <v>13946</v>
      </c>
      <c r="F4" s="213" t="str">
        <f>IF(ΓΕΝΙΚΑ!$B$19="ΝΑΙ",_xlfn.IFNA(INDEX(OrchardNameNai,MATCH(G4,DimosNameNai,0)),""),"")</f>
        <v>Αθηναίων</v>
      </c>
      <c r="G4" s="129" t="s">
        <v>939</v>
      </c>
      <c r="H4" s="118" t="s">
        <v>446</v>
      </c>
      <c r="I4" s="7" t="str">
        <f>TEXT(I$3,)</f>
        <v>POTS</v>
      </c>
      <c r="J4" s="7" t="str">
        <f t="shared" ref="J4" si="2">TEXT(J$3,)</f>
        <v/>
      </c>
      <c r="K4" s="7" t="str">
        <f t="shared" ref="K4:K6" si="3">IF(I4="","",IF(I4="Άλλο",IF(J4="","",J4),TEXT(I4,)))</f>
        <v>POTS</v>
      </c>
      <c r="L4" s="7">
        <f>IF(M4="ΠΟΛΥ ΥΨΗΛΗ", 5,IF(M4="ΥΨΗΛΗ",4,IF(M4="ΜΕΣΗ",3,IF(M4="ΧΑΜΗΛΗ",2,IF(M4="ΠΟΛΥ ΧΑΜΗΛΗ",1,0)))))</f>
        <v>5</v>
      </c>
      <c r="M4" s="62" t="str">
        <f>TEXT(M$3,)</f>
        <v>ΠΟΛΥ ΥΨΗΛΗ</v>
      </c>
      <c r="N4" s="248" t="e">
        <f>#REF!</f>
        <v>#REF!</v>
      </c>
      <c r="O4" s="182"/>
      <c r="P4" s="125" t="str">
        <f t="shared" si="1"/>
        <v/>
      </c>
      <c r="Q4" s="146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9" t="e">
        <f>#REF!</f>
        <v>#REF!</v>
      </c>
      <c r="B5" s="119" t="str">
        <f>B3</f>
        <v>OTE</v>
      </c>
      <c r="C5" s="140" t="str">
        <f t="shared" ref="C5:C6" si="4">C$3</f>
        <v>Άμεση</v>
      </c>
      <c r="D5" s="132"/>
      <c r="E5" s="212">
        <f>IF(P5="",IF(ΓΕΝΙΚΑ!$B$19="ΝΑΙ",_xlfn.IFNA(INDEX(OrchardIDnai,MATCH(G5,DimosNameNai,0)),""),""),"")</f>
        <v>14204</v>
      </c>
      <c r="F5" s="213" t="str">
        <f>IF(ΓΕΝΙΚΑ!$B$19="ΝΑΙ",_xlfn.IFNA(INDEX(OrchardNameNai,MATCH(G5,DimosNameNai,0)),""),"")</f>
        <v>Κατερίνης</v>
      </c>
      <c r="G5" s="129" t="s">
        <v>952</v>
      </c>
      <c r="H5" s="193" t="s">
        <v>445</v>
      </c>
      <c r="I5" s="191" t="s">
        <v>430</v>
      </c>
      <c r="J5" s="191"/>
      <c r="K5" s="192" t="str">
        <f t="shared" si="3"/>
        <v>POTS</v>
      </c>
      <c r="L5" s="61">
        <f t="shared" ref="L5:L6" si="5">IF(M5="ΠΟΛΥ ΥΨΗΛΗ", 5,IF(M5="ΥΨΗΛΗ",4,IF(M5="ΜΕΣΗ",3,IF(M5="ΧΑΜΗΛΗ",2,IF(M5="ΠΟΛΥ ΧΑΜΗΛΗ",1,0)))))</f>
        <v>5</v>
      </c>
      <c r="M5" s="191" t="s">
        <v>424</v>
      </c>
      <c r="N5" s="248" t="e">
        <f>#REF!</f>
        <v>#REF!</v>
      </c>
      <c r="O5" s="182"/>
      <c r="P5" s="125" t="str">
        <f t="shared" si="1"/>
        <v/>
      </c>
      <c r="Q5" s="146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9" t="e">
        <f>#REF!</f>
        <v>#REF!</v>
      </c>
      <c r="B6" s="80" t="str">
        <f>B3</f>
        <v>OTE</v>
      </c>
      <c r="C6" s="81" t="str">
        <f t="shared" si="4"/>
        <v>Άμεση</v>
      </c>
      <c r="D6" s="123" t="str">
        <f t="shared" ref="D6" si="6">IF(ISNUMBER($D$5),$D$5,"")</f>
        <v/>
      </c>
      <c r="E6" s="212">
        <f>IF(P6="",IF(ΓΕΝΙΚΑ!$B$19="ΝΑΙ",_xlfn.IFNA(INDEX(OrchardIDnai,MATCH(G6,DimosNameNai,0)),""),""),"")</f>
        <v>13946</v>
      </c>
      <c r="F6" s="214" t="str">
        <f>IF(ΓΕΝΙΚΑ!$B$19="ΝΑΙ",_xlfn.IFNA(INDEX(OrchardNameNai,MATCH(G6,DimosNameNai,0)),""),"")</f>
        <v>Αθηναίων</v>
      </c>
      <c r="G6" s="130" t="s">
        <v>939</v>
      </c>
      <c r="H6" s="117" t="s">
        <v>446</v>
      </c>
      <c r="I6" s="128" t="str">
        <f>TEXT(I$5,)</f>
        <v>POTS</v>
      </c>
      <c r="J6" s="12" t="str">
        <f t="shared" ref="J6" si="7">TEXT(J$5,)</f>
        <v/>
      </c>
      <c r="K6" s="12" t="str">
        <f t="shared" si="3"/>
        <v>POTS</v>
      </c>
      <c r="L6" s="12">
        <f t="shared" si="5"/>
        <v>5</v>
      </c>
      <c r="M6" s="127" t="str">
        <f>TEXT(M$5,)</f>
        <v>ΠΟΛΥ ΥΨΗΛΗ</v>
      </c>
      <c r="N6" s="249" t="e">
        <f>#REF!</f>
        <v>#REF!</v>
      </c>
      <c r="O6" s="182"/>
      <c r="P6" s="126" t="str">
        <f t="shared" si="1"/>
        <v/>
      </c>
      <c r="Q6" s="190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pt1JutcZOjiBMmfhsVrp+sMKlQVaILZ24+6beMs8hB/ptyN00yHq6IvIZ+rYw1DtRmKWbvQqEOlTwTQT9ojPFw==" saltValue="r/ZGCASwlRWcm6FYeExgEA==" spinCount="100000" sheet="1" objects="1" scenarios="1" formatColumns="0" formatRows="0" selectLockedCells="1"/>
  <dataConsolidate/>
  <conditionalFormatting sqref="P3:P6">
    <cfRule type="cellIs" dxfId="4" priority="1" operator="equal">
      <formula>"ΣΦΑΛΜΑ"</formula>
    </cfRule>
  </conditionalFormatting>
  <dataValidations count="6">
    <dataValidation type="list" allowBlank="1" showInputMessage="1" showErrorMessage="1" sqref="C3">
      <formula1>ServiceType</formula1>
    </dataValidation>
    <dataValidation type="list" allowBlank="1" showInputMessage="1" showErrorMessage="1" sqref="I5 I3">
      <formula1>POTS</formula1>
    </dataValidation>
    <dataValidation type="list" allowBlank="1" showInputMessage="1" showErrorMessage="1" sqref="M5 M3">
      <formula1>Quality</formula1>
    </dataValidation>
    <dataValidation type="list" allowBlank="1" showInputMessage="1" showErrorMessage="1" sqref="D5 D3">
      <formula1>Packet</formula1>
    </dataValidation>
    <dataValidation type="list" allowBlank="1" showInputMessage="1" showErrorMessage="1" sqref="H3:H6">
      <formula1>Direction_</formula1>
    </dataValidation>
    <dataValidation type="list" allowBlank="1" showInputMessage="1" showErrorMessage="1" sqref="G3:G6">
      <formula1>TK</formula1>
    </dataValidation>
  </dataValidations>
  <printOptions verticalCentered="1"/>
  <pageMargins left="0.31496062992125984" right="0.31496062992125984" top="0.74803149606299213" bottom="0.74803149606299213" header="0.31496062992125984" footer="0.31496062992125984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48576"/>
  <sheetViews>
    <sheetView topLeftCell="A2" zoomScale="70" zoomScaleNormal="70" workbookViewId="0">
      <selection activeCell="O3" sqref="O3"/>
    </sheetView>
  </sheetViews>
  <sheetFormatPr defaultColWidth="0" defaultRowHeight="15" zeroHeight="1" x14ac:dyDescent="0.25"/>
  <cols>
    <col min="1" max="1" width="27.28515625" style="173" customWidth="1"/>
    <col min="2" max="2" width="23" style="173" hidden="1" customWidth="1"/>
    <col min="3" max="3" width="17.5703125" style="173" customWidth="1"/>
    <col min="4" max="4" width="25.28515625" style="258" hidden="1" customWidth="1"/>
    <col min="5" max="5" width="37.140625" style="258" hidden="1" customWidth="1"/>
    <col min="6" max="6" width="38.140625" style="173" customWidth="1"/>
    <col min="7" max="7" width="19.85546875" style="173" customWidth="1"/>
    <col min="8" max="8" width="28.28515625" style="173" customWidth="1"/>
    <col min="9" max="9" width="28.28515625" style="173" hidden="1" customWidth="1"/>
    <col min="10" max="10" width="24" style="173" customWidth="1"/>
    <col min="11" max="11" width="28.28515625" style="173" hidden="1" customWidth="1"/>
    <col min="12" max="12" width="19.85546875" style="308" customWidth="1"/>
    <col min="13" max="13" width="31.28515625" style="173" customWidth="1"/>
    <col min="14" max="14" width="31.28515625" style="309" hidden="1" customWidth="1"/>
    <col min="15" max="15" width="45.7109375" style="173" customWidth="1"/>
    <col min="16" max="17" width="31.28515625" style="173" customWidth="1"/>
    <col min="18" max="18" width="5.7109375" style="173" customWidth="1"/>
    <col min="19" max="19" width="16.140625" style="173" customWidth="1"/>
    <col min="20" max="20" width="70.140625" style="173" customWidth="1"/>
    <col min="21" max="33" width="9.140625" style="288" hidden="1" customWidth="1"/>
    <col min="34" max="16384" width="9.140625" style="173" hidden="1"/>
  </cols>
  <sheetData>
    <row r="1" spans="1:33" ht="15.75" hidden="1" thickBot="1" x14ac:dyDescent="0.3">
      <c r="A1" t="s">
        <v>502</v>
      </c>
      <c r="B1" t="s">
        <v>501</v>
      </c>
      <c r="C1" t="s">
        <v>503</v>
      </c>
      <c r="D1" s="231" t="s">
        <v>900</v>
      </c>
      <c r="E1" s="231" t="s">
        <v>901</v>
      </c>
      <c r="F1" s="2" t="s">
        <v>506</v>
      </c>
      <c r="G1" t="s">
        <v>521</v>
      </c>
      <c r="H1" t="s">
        <v>516</v>
      </c>
      <c r="I1" t="s">
        <v>522</v>
      </c>
      <c r="J1" t="s">
        <v>516</v>
      </c>
      <c r="K1" t="s">
        <v>523</v>
      </c>
      <c r="L1" t="s">
        <v>524</v>
      </c>
      <c r="M1" s="230" t="s">
        <v>516</v>
      </c>
      <c r="N1" s="233" t="s">
        <v>525</v>
      </c>
      <c r="O1" s="24" t="s">
        <v>526</v>
      </c>
      <c r="P1" s="24" t="s">
        <v>527</v>
      </c>
      <c r="Q1" s="24" t="s">
        <v>509</v>
      </c>
      <c r="S1" s="24" t="s">
        <v>516</v>
      </c>
      <c r="T1" s="24" t="s">
        <v>516</v>
      </c>
      <c r="U1" s="196"/>
      <c r="V1" s="196"/>
      <c r="W1" s="196"/>
      <c r="X1" s="196"/>
      <c r="Y1" s="196"/>
      <c r="Z1" s="196"/>
      <c r="AA1" s="173"/>
      <c r="AB1" s="173"/>
      <c r="AC1" s="173"/>
      <c r="AD1" s="173"/>
      <c r="AE1" s="173"/>
      <c r="AF1" s="173"/>
      <c r="AG1" s="173"/>
    </row>
    <row r="2" spans="1:33" ht="105.75" thickBot="1" x14ac:dyDescent="0.3">
      <c r="A2" s="3" t="s">
        <v>422</v>
      </c>
      <c r="B2" s="4" t="s">
        <v>28</v>
      </c>
      <c r="C2" s="4" t="s">
        <v>433</v>
      </c>
      <c r="D2" s="232"/>
      <c r="E2" s="232"/>
      <c r="F2" s="4" t="s">
        <v>545</v>
      </c>
      <c r="G2" s="4" t="s">
        <v>463</v>
      </c>
      <c r="H2" s="4" t="s">
        <v>556</v>
      </c>
      <c r="I2" s="4" t="s">
        <v>558</v>
      </c>
      <c r="J2" s="85" t="s">
        <v>568</v>
      </c>
      <c r="K2" s="4" t="s">
        <v>559</v>
      </c>
      <c r="L2" s="133" t="s">
        <v>567</v>
      </c>
      <c r="M2" s="4" t="s">
        <v>557</v>
      </c>
      <c r="N2" s="232" t="s">
        <v>557</v>
      </c>
      <c r="O2" s="4" t="s">
        <v>464</v>
      </c>
      <c r="P2" s="85" t="s">
        <v>465</v>
      </c>
      <c r="Q2" s="22" t="s">
        <v>421</v>
      </c>
      <c r="S2" s="46" t="s">
        <v>452</v>
      </c>
      <c r="T2" s="138" t="s">
        <v>452</v>
      </c>
      <c r="U2" s="196"/>
      <c r="V2" s="196"/>
      <c r="W2" s="288" t="s">
        <v>572</v>
      </c>
      <c r="X2" s="288" t="s">
        <v>573</v>
      </c>
      <c r="Y2" s="196"/>
      <c r="Z2" s="196"/>
      <c r="AA2" s="173"/>
      <c r="AB2" s="173"/>
      <c r="AC2" s="173"/>
      <c r="AD2" s="173"/>
      <c r="AE2" s="173"/>
      <c r="AF2" s="173"/>
      <c r="AG2" s="173"/>
    </row>
    <row r="3" spans="1:33" ht="61.5" thickTop="1" thickBot="1" x14ac:dyDescent="0.3">
      <c r="A3" s="39" t="s">
        <v>466</v>
      </c>
      <c r="B3" s="47" t="str">
        <f>ΓΕΝΙΚΑ!C4</f>
        <v>OTE</v>
      </c>
      <c r="C3" s="134" t="s">
        <v>434</v>
      </c>
      <c r="D3" s="236">
        <f>IF(S3="",IF(ΓΕΝΙΚΑ!$B$20="ΝΑΙ",15300,""),"")</f>
        <v>15300</v>
      </c>
      <c r="E3" s="281" t="str">
        <f>IF(ΓΕΝΙΚΑ!$B$20="ΝΑΙ","ΠΑΝΕΛΛΑΔΙΚΑ","")</f>
        <v>ΠΑΝΕΛΛΑΔΙΚΑ</v>
      </c>
      <c r="F3" s="40" t="s">
        <v>552</v>
      </c>
      <c r="G3" s="5">
        <v>50</v>
      </c>
      <c r="H3" s="135">
        <v>5</v>
      </c>
      <c r="I3" s="139"/>
      <c r="J3" s="135"/>
      <c r="K3" s="139" t="str">
        <f>IF(ISNUMBER(J3),ROUND(J3,2),"")</f>
        <v/>
      </c>
      <c r="L3" s="59">
        <f>IF(AND(ISNUMBER(H3),ISNUMBER(J3)),ROUND(H3+J3,0),IF(ISNUMBER(H3),ROUND(H3,0),IF(ISNUMBER(J3),ROUND(J3,0),"")))</f>
        <v>5</v>
      </c>
      <c r="M3" s="250">
        <v>76.790000000000006</v>
      </c>
      <c r="N3" s="250">
        <f>IF(ISNUMBER(M3),ROUND(M3,2),"")</f>
        <v>76.790000000000006</v>
      </c>
      <c r="O3" s="265" t="s">
        <v>933</v>
      </c>
      <c r="P3" s="266" t="s">
        <v>934</v>
      </c>
      <c r="Q3" s="267"/>
      <c r="S3" s="125" t="str">
        <f>IF(T3="","","ΣΦΑΛΜΑ")</f>
        <v/>
      </c>
      <c r="T3" s="194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288" t="s">
        <v>570</v>
      </c>
      <c r="V3" s="288" t="s">
        <v>571</v>
      </c>
      <c r="Y3" s="288" t="s">
        <v>574</v>
      </c>
    </row>
    <row r="4" spans="1:33" ht="60" x14ac:dyDescent="0.25">
      <c r="A4" s="41" t="str">
        <f t="shared" ref="A4:A30" si="0">A$3</f>
        <v>B05</v>
      </c>
      <c r="B4" s="38" t="str">
        <f>B$3</f>
        <v>OTE</v>
      </c>
      <c r="C4" s="38" t="str">
        <f t="shared" ref="C4:C30" si="1">$C$3</f>
        <v>Άμεση</v>
      </c>
      <c r="D4" s="223">
        <f>IF(S4="",IF(ΓΕΝΙΚΑ!$B$20="ΝΑΙ",14664,""),"")</f>
        <v>14664</v>
      </c>
      <c r="E4" s="282" t="str">
        <f>IF(ΓΕΝΙΚΑ!$B$20="ΝΑΙ","Π. ΑΝΑΤΟΛΙΚΗΣ ΜΑΚΕΔΟΝΙΑΣ - ΘΡΑΚΗΣ","")</f>
        <v>Π. ΑΝΑΤΟΛΙΚΗΣ ΜΑΚΕΔΟΝΙΑΣ - ΘΡΑΚΗΣ</v>
      </c>
      <c r="F4" s="23" t="s">
        <v>39</v>
      </c>
      <c r="G4" s="23">
        <v>50</v>
      </c>
      <c r="H4" s="136">
        <v>4</v>
      </c>
      <c r="I4" s="255"/>
      <c r="J4" s="136"/>
      <c r="K4" s="255" t="str">
        <f t="shared" ref="K4:K30" si="2">IF(ISNUMBER(J4),ROUND(J4,2),"")</f>
        <v/>
      </c>
      <c r="L4" s="59">
        <f t="shared" ref="L4:L30" si="3">IF(AND(ISNUMBER(H4),ISNUMBER(J4)),ROUND(H4+J4,0),IF(ISNUMBER(H4),ROUND(H4,0),IF(ISNUMBER(J4),ROUND(J4,0),"")))</f>
        <v>4</v>
      </c>
      <c r="M4" s="251">
        <v>86.26</v>
      </c>
      <c r="N4" s="264">
        <f t="shared" ref="N4:N16" si="4">IF(ISNUMBER(M4),ROUND(M4,2),"")</f>
        <v>86.26</v>
      </c>
      <c r="O4" s="271" t="str">
        <f>O$3</f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4" s="272" t="str">
        <f t="shared" ref="P4:Q30" si="5">P$3</f>
        <v xml:space="preserve">Μισή εργάσιμη μέρα </v>
      </c>
      <c r="Q4" s="273">
        <f t="shared" si="5"/>
        <v>0</v>
      </c>
      <c r="S4" s="125" t="str">
        <f t="shared" ref="S4:S30" si="6">IF(T4="","","ΣΦΑΛΜΑ")</f>
        <v/>
      </c>
      <c r="T4" s="194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288" t="s">
        <v>570</v>
      </c>
      <c r="V4" s="288" t="s">
        <v>571</v>
      </c>
      <c r="Y4" s="288" t="s">
        <v>574</v>
      </c>
    </row>
    <row r="5" spans="1:33" ht="60" x14ac:dyDescent="0.25">
      <c r="A5" s="41" t="str">
        <f t="shared" si="0"/>
        <v>B05</v>
      </c>
      <c r="B5" s="38" t="str">
        <f t="shared" ref="B5:B30" si="7">B$3</f>
        <v>OTE</v>
      </c>
      <c r="C5" s="38" t="str">
        <f t="shared" si="1"/>
        <v>Άμεση</v>
      </c>
      <c r="D5" s="237">
        <f>IF(S5="",IF(ΓΕΝΙΚΑ!$B$20="ΝΑΙ",14666,""),"")</f>
        <v>14666</v>
      </c>
      <c r="E5" s="283" t="str">
        <f>IF(ΓΕΝΙΚΑ!$B$20="ΝΑΙ","Π. ΑΤΤΙΚΗΣ","")</f>
        <v>Π. ΑΤΤΙΚΗΣ</v>
      </c>
      <c r="F5" s="7" t="s">
        <v>40</v>
      </c>
      <c r="G5" s="7">
        <v>50</v>
      </c>
      <c r="H5" s="136">
        <v>6</v>
      </c>
      <c r="I5" s="255"/>
      <c r="J5" s="136"/>
      <c r="K5" s="255" t="str">
        <f t="shared" si="2"/>
        <v/>
      </c>
      <c r="L5" s="59">
        <f t="shared" si="3"/>
        <v>6</v>
      </c>
      <c r="M5" s="251">
        <v>67.95</v>
      </c>
      <c r="N5" s="264">
        <f t="shared" si="4"/>
        <v>67.95</v>
      </c>
      <c r="O5" s="271" t="str">
        <f t="shared" ref="O5:O30" si="8">O$3</f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5" s="272" t="str">
        <f t="shared" si="5"/>
        <v xml:space="preserve">Μισή εργάσιμη μέρα </v>
      </c>
      <c r="Q5" s="273">
        <f t="shared" si="5"/>
        <v>0</v>
      </c>
      <c r="S5" s="125" t="str">
        <f t="shared" si="6"/>
        <v/>
      </c>
      <c r="T5" s="194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288" t="s">
        <v>570</v>
      </c>
      <c r="V5" s="288" t="s">
        <v>571</v>
      </c>
      <c r="Y5" s="288" t="s">
        <v>574</v>
      </c>
    </row>
    <row r="6" spans="1:33" ht="60" x14ac:dyDescent="0.25">
      <c r="A6" s="41" t="str">
        <f t="shared" si="0"/>
        <v>B05</v>
      </c>
      <c r="B6" s="38" t="str">
        <f t="shared" si="7"/>
        <v>OTE</v>
      </c>
      <c r="C6" s="38" t="str">
        <f t="shared" si="1"/>
        <v>Άμεση</v>
      </c>
      <c r="D6" s="223">
        <f>IF(S3="",IF(ΓΕΝΙΚΑ!$B$20="ΝΑΙ",14668,""),"")</f>
        <v>14668</v>
      </c>
      <c r="E6" s="282" t="str">
        <f>IF(ΓΕΝΙΚΑ!$B$20="ΝΑΙ","Π. ΒΟΡΕΙΟΥ ΑΙΓΑΙΟΥ","")</f>
        <v>Π. ΒΟΡΕΙΟΥ ΑΙΓΑΙΟΥ</v>
      </c>
      <c r="F6" s="23" t="s">
        <v>404</v>
      </c>
      <c r="G6" s="23">
        <v>50</v>
      </c>
      <c r="H6" s="136">
        <v>5</v>
      </c>
      <c r="I6" s="255"/>
      <c r="J6" s="136"/>
      <c r="K6" s="255" t="str">
        <f t="shared" si="2"/>
        <v/>
      </c>
      <c r="L6" s="59">
        <f t="shared" si="3"/>
        <v>5</v>
      </c>
      <c r="M6" s="251">
        <v>79.819999999999993</v>
      </c>
      <c r="N6" s="264">
        <f t="shared" si="4"/>
        <v>79.819999999999993</v>
      </c>
      <c r="O6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6" s="272" t="str">
        <f t="shared" si="5"/>
        <v xml:space="preserve">Μισή εργάσιμη μέρα </v>
      </c>
      <c r="Q6" s="273">
        <f t="shared" si="5"/>
        <v>0</v>
      </c>
      <c r="S6" s="125" t="str">
        <f t="shared" si="6"/>
        <v/>
      </c>
      <c r="T6" s="194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288" t="s">
        <v>570</v>
      </c>
      <c r="V6" s="288" t="s">
        <v>571</v>
      </c>
      <c r="Y6" s="288" t="s">
        <v>574</v>
      </c>
    </row>
    <row r="7" spans="1:33" ht="60" x14ac:dyDescent="0.25">
      <c r="A7" s="41" t="str">
        <f t="shared" si="0"/>
        <v>B05</v>
      </c>
      <c r="B7" s="38" t="str">
        <f t="shared" si="7"/>
        <v>OTE</v>
      </c>
      <c r="C7" s="38" t="str">
        <f t="shared" si="1"/>
        <v>Άμεση</v>
      </c>
      <c r="D7" s="237">
        <f>IF(S7="",IF(ΓΕΝΙΚΑ!$B$20="ΝΑΙ",14670,""),"")</f>
        <v>14670</v>
      </c>
      <c r="E7" s="283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6">
        <v>6</v>
      </c>
      <c r="I7" s="255"/>
      <c r="J7" s="136"/>
      <c r="K7" s="255" t="str">
        <f t="shared" si="2"/>
        <v/>
      </c>
      <c r="L7" s="59">
        <f t="shared" si="3"/>
        <v>6</v>
      </c>
      <c r="M7" s="251">
        <v>72.77</v>
      </c>
      <c r="N7" s="264">
        <f t="shared" si="4"/>
        <v>72.77</v>
      </c>
      <c r="O7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7" s="272" t="str">
        <f t="shared" si="5"/>
        <v xml:space="preserve">Μισή εργάσιμη μέρα </v>
      </c>
      <c r="Q7" s="273">
        <f t="shared" si="5"/>
        <v>0</v>
      </c>
      <c r="S7" s="125" t="str">
        <f t="shared" si="6"/>
        <v/>
      </c>
      <c r="T7" s="194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288" t="s">
        <v>570</v>
      </c>
      <c r="V7" s="288" t="s">
        <v>571</v>
      </c>
      <c r="Y7" s="288" t="s">
        <v>574</v>
      </c>
    </row>
    <row r="8" spans="1:33" ht="60" x14ac:dyDescent="0.25">
      <c r="A8" s="41" t="str">
        <f t="shared" si="0"/>
        <v>B05</v>
      </c>
      <c r="B8" s="38" t="str">
        <f t="shared" si="7"/>
        <v>OTE</v>
      </c>
      <c r="C8" s="38" t="str">
        <f t="shared" si="1"/>
        <v>Άμεση</v>
      </c>
      <c r="D8" s="223">
        <f>IF(S8="",IF(ΓΕΝΙΚΑ!$B$20="ΝΑΙ",14672,""),"")</f>
        <v>14672</v>
      </c>
      <c r="E8" s="282" t="str">
        <f>IF(ΓΕΝΙΚΑ!$B$20="ΝΑΙ","Π. ΔΥΤΙΚΗΣ ΜΑΚΕΔΟΝΙΑΣ","")</f>
        <v>Π. ΔΥΤΙΚΗΣ ΜΑΚΕΔΟΝΙΑΣ</v>
      </c>
      <c r="F8" s="23" t="s">
        <v>406</v>
      </c>
      <c r="G8" s="23">
        <v>50</v>
      </c>
      <c r="H8" s="136">
        <v>4</v>
      </c>
      <c r="I8" s="255"/>
      <c r="J8" s="136"/>
      <c r="K8" s="255" t="str">
        <f t="shared" si="2"/>
        <v/>
      </c>
      <c r="L8" s="59">
        <f t="shared" si="3"/>
        <v>4</v>
      </c>
      <c r="M8" s="251">
        <v>90.44</v>
      </c>
      <c r="N8" s="264">
        <f t="shared" si="4"/>
        <v>90.44</v>
      </c>
      <c r="O8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8" s="272" t="str">
        <f t="shared" si="5"/>
        <v xml:space="preserve">Μισή εργάσιμη μέρα </v>
      </c>
      <c r="Q8" s="273">
        <f t="shared" si="5"/>
        <v>0</v>
      </c>
      <c r="S8" s="125" t="str">
        <f t="shared" si="6"/>
        <v/>
      </c>
      <c r="T8" s="194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288" t="s">
        <v>570</v>
      </c>
      <c r="V8" s="288" t="s">
        <v>571</v>
      </c>
      <c r="Y8" s="288" t="s">
        <v>574</v>
      </c>
    </row>
    <row r="9" spans="1:33" ht="60" x14ac:dyDescent="0.25">
      <c r="A9" s="41" t="str">
        <f t="shared" si="0"/>
        <v>B05</v>
      </c>
      <c r="B9" s="38" t="str">
        <f t="shared" si="7"/>
        <v>OTE</v>
      </c>
      <c r="C9" s="38" t="str">
        <f t="shared" si="1"/>
        <v>Άμεση</v>
      </c>
      <c r="D9" s="237">
        <f>IF(S9="",IF(ΓΕΝΙΚΑ!$B$20="ΝΑΙ",14674,""),"")</f>
        <v>14674</v>
      </c>
      <c r="E9" s="283" t="str">
        <f>IF(ΓΕΝΙΚΑ!$B$20="ΝΑΙ","Π. ΗΠΕΙΡΟΥ","")</f>
        <v>Π. ΗΠΕΙΡΟΥ</v>
      </c>
      <c r="F9" s="7" t="s">
        <v>407</v>
      </c>
      <c r="G9" s="7">
        <v>50</v>
      </c>
      <c r="H9" s="136">
        <v>4</v>
      </c>
      <c r="I9" s="255"/>
      <c r="J9" s="136"/>
      <c r="K9" s="255" t="str">
        <f t="shared" si="2"/>
        <v/>
      </c>
      <c r="L9" s="59">
        <f t="shared" si="3"/>
        <v>4</v>
      </c>
      <c r="M9" s="251">
        <v>84.98</v>
      </c>
      <c r="N9" s="264">
        <f t="shared" si="4"/>
        <v>84.98</v>
      </c>
      <c r="O9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9" s="272" t="str">
        <f t="shared" si="5"/>
        <v xml:space="preserve">Μισή εργάσιμη μέρα </v>
      </c>
      <c r="Q9" s="273">
        <f t="shared" si="5"/>
        <v>0</v>
      </c>
      <c r="S9" s="125" t="str">
        <f t="shared" si="6"/>
        <v/>
      </c>
      <c r="T9" s="194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288" t="s">
        <v>570</v>
      </c>
      <c r="V9" s="288" t="s">
        <v>571</v>
      </c>
      <c r="Y9" s="288" t="s">
        <v>574</v>
      </c>
    </row>
    <row r="10" spans="1:33" ht="60" x14ac:dyDescent="0.25">
      <c r="A10" s="41" t="str">
        <f t="shared" si="0"/>
        <v>B05</v>
      </c>
      <c r="B10" s="38" t="str">
        <f t="shared" si="7"/>
        <v>OTE</v>
      </c>
      <c r="C10" s="38" t="str">
        <f t="shared" si="1"/>
        <v>Άμεση</v>
      </c>
      <c r="D10" s="223">
        <f>IF(S10="",IF(ΓΕΝΙΚΑ!$B$20="ΝΑΙ",14676,""),"")</f>
        <v>14676</v>
      </c>
      <c r="E10" s="282" t="str">
        <f>IF(ΓΕΝΙΚΑ!$B$20="ΝΑΙ","Π. ΘΕΣΣΑΛΙΑΣ","")</f>
        <v>Π. ΘΕΣΣΑΛΙΑΣ</v>
      </c>
      <c r="F10" s="23" t="s">
        <v>408</v>
      </c>
      <c r="G10" s="23">
        <v>50</v>
      </c>
      <c r="H10" s="136">
        <v>5</v>
      </c>
      <c r="I10" s="255"/>
      <c r="J10" s="136"/>
      <c r="K10" s="255" t="str">
        <f t="shared" si="2"/>
        <v/>
      </c>
      <c r="L10" s="59">
        <f t="shared" si="3"/>
        <v>5</v>
      </c>
      <c r="M10" s="251">
        <v>75.45</v>
      </c>
      <c r="N10" s="264">
        <f t="shared" si="4"/>
        <v>75.45</v>
      </c>
      <c r="O10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0" s="272" t="str">
        <f t="shared" si="5"/>
        <v xml:space="preserve">Μισή εργάσιμη μέρα </v>
      </c>
      <c r="Q10" s="273">
        <f t="shared" si="5"/>
        <v>0</v>
      </c>
      <c r="S10" s="125" t="str">
        <f t="shared" si="6"/>
        <v/>
      </c>
      <c r="T10" s="194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288" t="s">
        <v>570</v>
      </c>
      <c r="V10" s="288" t="s">
        <v>571</v>
      </c>
      <c r="Y10" s="288" t="s">
        <v>574</v>
      </c>
    </row>
    <row r="11" spans="1:33" ht="60" x14ac:dyDescent="0.25">
      <c r="A11" s="41" t="str">
        <f t="shared" si="0"/>
        <v>B05</v>
      </c>
      <c r="B11" s="38" t="str">
        <f t="shared" si="7"/>
        <v>OTE</v>
      </c>
      <c r="C11" s="38" t="str">
        <f t="shared" si="1"/>
        <v>Άμεση</v>
      </c>
      <c r="D11" s="237">
        <f>IF(S11="",IF(ΓΕΝΙΚΑ!$B$20="ΝΑΙ",14678,""),"")</f>
        <v>14678</v>
      </c>
      <c r="E11" s="283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6">
        <v>6</v>
      </c>
      <c r="I11" s="255"/>
      <c r="J11" s="136"/>
      <c r="K11" s="255" t="str">
        <f t="shared" si="2"/>
        <v/>
      </c>
      <c r="L11" s="59">
        <f t="shared" si="3"/>
        <v>6</v>
      </c>
      <c r="M11" s="251">
        <v>80.180000000000007</v>
      </c>
      <c r="N11" s="264">
        <f t="shared" si="4"/>
        <v>80.180000000000007</v>
      </c>
      <c r="O11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1" s="272" t="str">
        <f t="shared" si="5"/>
        <v xml:space="preserve">Μισή εργάσιμη μέρα </v>
      </c>
      <c r="Q11" s="273">
        <f t="shared" si="5"/>
        <v>0</v>
      </c>
      <c r="S11" s="125" t="str">
        <f t="shared" si="6"/>
        <v/>
      </c>
      <c r="T11" s="194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288" t="s">
        <v>570</v>
      </c>
      <c r="V11" s="288" t="s">
        <v>571</v>
      </c>
      <c r="Y11" s="288" t="s">
        <v>574</v>
      </c>
    </row>
    <row r="12" spans="1:33" ht="60" x14ac:dyDescent="0.25">
      <c r="A12" s="41" t="str">
        <f t="shared" si="0"/>
        <v>B05</v>
      </c>
      <c r="B12" s="38" t="str">
        <f t="shared" si="7"/>
        <v>OTE</v>
      </c>
      <c r="C12" s="38" t="str">
        <f t="shared" si="1"/>
        <v>Άμεση</v>
      </c>
      <c r="D12" s="223">
        <f>IF(S12="",IF(ΓΕΝΙΚΑ!$B$20="ΝΑΙ",14680,""),"")</f>
        <v>14680</v>
      </c>
      <c r="E12" s="282" t="str">
        <f>IF(ΓΕΝΙΚΑ!$B$20="ΝΑΙ","Π. ΚΕΝΤΡΙΚΗΣ ΜΑΚΕΔΟΝΙΑΣ","")</f>
        <v>Π. ΚΕΝΤΡΙΚΗΣ ΜΑΚΕΔΟΝΙΑΣ</v>
      </c>
      <c r="F12" s="23" t="s">
        <v>410</v>
      </c>
      <c r="G12" s="23">
        <v>50</v>
      </c>
      <c r="H12" s="136">
        <v>4</v>
      </c>
      <c r="I12" s="255"/>
      <c r="J12" s="136"/>
      <c r="K12" s="255" t="str">
        <f t="shared" si="2"/>
        <v/>
      </c>
      <c r="L12" s="59">
        <f t="shared" si="3"/>
        <v>4</v>
      </c>
      <c r="M12" s="251">
        <v>85.13</v>
      </c>
      <c r="N12" s="264">
        <f t="shared" si="4"/>
        <v>85.13</v>
      </c>
      <c r="O12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2" s="272" t="str">
        <f t="shared" si="5"/>
        <v xml:space="preserve">Μισή εργάσιμη μέρα </v>
      </c>
      <c r="Q12" s="273">
        <f t="shared" si="5"/>
        <v>0</v>
      </c>
      <c r="S12" s="125" t="str">
        <f t="shared" si="6"/>
        <v/>
      </c>
      <c r="T12" s="194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288" t="s">
        <v>570</v>
      </c>
      <c r="V12" s="288" t="s">
        <v>571</v>
      </c>
      <c r="Y12" s="288" t="s">
        <v>574</v>
      </c>
    </row>
    <row r="13" spans="1:33" ht="60" x14ac:dyDescent="0.25">
      <c r="A13" s="41" t="str">
        <f t="shared" si="0"/>
        <v>B05</v>
      </c>
      <c r="B13" s="38" t="str">
        <f t="shared" si="7"/>
        <v>OTE</v>
      </c>
      <c r="C13" s="38" t="str">
        <f t="shared" si="1"/>
        <v>Άμεση</v>
      </c>
      <c r="D13" s="237">
        <f>IF(S13="",IF(ΓΕΝΙΚΑ!$B$20="ΝΑΙ",14682,""),"")</f>
        <v>14682</v>
      </c>
      <c r="E13" s="283" t="str">
        <f>IF(ΓΕΝΙΚΑ!$B$20="ΝΑΙ","Π. ΚΡΗΤΗΣ","")</f>
        <v>Π. ΚΡΗΤΗΣ</v>
      </c>
      <c r="F13" s="7" t="s">
        <v>411</v>
      </c>
      <c r="G13" s="7">
        <v>50</v>
      </c>
      <c r="H13" s="136">
        <v>4</v>
      </c>
      <c r="I13" s="255"/>
      <c r="J13" s="136"/>
      <c r="K13" s="255" t="str">
        <f t="shared" si="2"/>
        <v/>
      </c>
      <c r="L13" s="59">
        <f t="shared" si="3"/>
        <v>4</v>
      </c>
      <c r="M13" s="251">
        <v>86.65</v>
      </c>
      <c r="N13" s="264">
        <f t="shared" si="4"/>
        <v>86.65</v>
      </c>
      <c r="O13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3" s="272" t="str">
        <f t="shared" si="5"/>
        <v xml:space="preserve">Μισή εργάσιμη μέρα </v>
      </c>
      <c r="Q13" s="273">
        <f t="shared" si="5"/>
        <v>0</v>
      </c>
      <c r="S13" s="125" t="str">
        <f t="shared" si="6"/>
        <v/>
      </c>
      <c r="T13" s="194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288" t="s">
        <v>570</v>
      </c>
      <c r="V13" s="288" t="s">
        <v>571</v>
      </c>
      <c r="Y13" s="288" t="s">
        <v>574</v>
      </c>
    </row>
    <row r="14" spans="1:33" ht="60" x14ac:dyDescent="0.25">
      <c r="A14" s="41" t="str">
        <f t="shared" si="0"/>
        <v>B05</v>
      </c>
      <c r="B14" s="38" t="str">
        <f t="shared" si="7"/>
        <v>OTE</v>
      </c>
      <c r="C14" s="38" t="str">
        <f t="shared" si="1"/>
        <v>Άμεση</v>
      </c>
      <c r="D14" s="223">
        <f>IF(S14="",IF(ΓΕΝΙΚΑ!$B$20="ΝΑΙ",14684,""),"")</f>
        <v>14684</v>
      </c>
      <c r="E14" s="282" t="str">
        <f>IF(ΓΕΝΙΚΑ!$B$20="ΝΑΙ","Π. ΝΟΤΙΟΥ ΑΙΓΑΙΟΥ","")</f>
        <v>Π. ΝΟΤΙΟΥ ΑΙΓΑΙΟΥ</v>
      </c>
      <c r="F14" s="23" t="s">
        <v>412</v>
      </c>
      <c r="G14" s="23">
        <v>50</v>
      </c>
      <c r="H14" s="136">
        <v>8</v>
      </c>
      <c r="I14" s="255"/>
      <c r="J14" s="136"/>
      <c r="K14" s="255" t="str">
        <f t="shared" si="2"/>
        <v/>
      </c>
      <c r="L14" s="59">
        <f t="shared" si="3"/>
        <v>8</v>
      </c>
      <c r="M14" s="251">
        <v>61.3</v>
      </c>
      <c r="N14" s="264">
        <f t="shared" si="4"/>
        <v>61.3</v>
      </c>
      <c r="O14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4" s="272" t="str">
        <f t="shared" si="5"/>
        <v xml:space="preserve">Μισή εργάσιμη μέρα </v>
      </c>
      <c r="Q14" s="273">
        <f t="shared" si="5"/>
        <v>0</v>
      </c>
      <c r="S14" s="125" t="str">
        <f t="shared" si="6"/>
        <v/>
      </c>
      <c r="T14" s="194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288" t="s">
        <v>570</v>
      </c>
      <c r="V14" s="288" t="s">
        <v>571</v>
      </c>
      <c r="Y14" s="288" t="s">
        <v>574</v>
      </c>
    </row>
    <row r="15" spans="1:33" ht="60" x14ac:dyDescent="0.25">
      <c r="A15" s="41" t="str">
        <f t="shared" si="0"/>
        <v>B05</v>
      </c>
      <c r="B15" s="38" t="str">
        <f t="shared" si="7"/>
        <v>OTE</v>
      </c>
      <c r="C15" s="38" t="str">
        <f t="shared" si="1"/>
        <v>Άμεση</v>
      </c>
      <c r="D15" s="237">
        <f>IF(S15="",IF(ΓΕΝΙΚΑ!$B$20="ΝΑΙ",14686,""),"")</f>
        <v>14686</v>
      </c>
      <c r="E15" s="283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6">
        <v>5</v>
      </c>
      <c r="I15" s="255"/>
      <c r="J15" s="136"/>
      <c r="K15" s="255" t="str">
        <f t="shared" si="2"/>
        <v/>
      </c>
      <c r="L15" s="59">
        <f t="shared" si="3"/>
        <v>5</v>
      </c>
      <c r="M15" s="251">
        <v>84</v>
      </c>
      <c r="N15" s="264">
        <f t="shared" si="4"/>
        <v>84</v>
      </c>
      <c r="O15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5" s="272" t="str">
        <f t="shared" si="5"/>
        <v xml:space="preserve">Μισή εργάσιμη μέρα </v>
      </c>
      <c r="Q15" s="273">
        <f t="shared" si="5"/>
        <v>0</v>
      </c>
      <c r="S15" s="125" t="str">
        <f t="shared" si="6"/>
        <v/>
      </c>
      <c r="T15" s="194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288" t="s">
        <v>570</v>
      </c>
      <c r="V15" s="288" t="s">
        <v>571</v>
      </c>
      <c r="Y15" s="288" t="s">
        <v>574</v>
      </c>
    </row>
    <row r="16" spans="1:33" ht="60.75" thickBot="1" x14ac:dyDescent="0.3">
      <c r="A16" s="41" t="str">
        <f t="shared" si="0"/>
        <v>B05</v>
      </c>
      <c r="B16" s="38" t="str">
        <f t="shared" si="7"/>
        <v>OTE</v>
      </c>
      <c r="C16" s="38" t="str">
        <f t="shared" si="1"/>
        <v>Άμεση</v>
      </c>
      <c r="D16" s="224">
        <f>IF(S16="",IF(ΓΕΝΙΚΑ!$B$20="ΝΑΙ",14688,""),"")</f>
        <v>14688</v>
      </c>
      <c r="E16" s="284" t="str">
        <f>IF(ΓΕΝΙΚΑ!$B$20="ΝΑΙ","Π. ΣΤΕΡΕΑΣ ΕΛΛΑΔΑΣ","")</f>
        <v>Π. ΣΤΕΡΕΑΣ ΕΛΛΑΔΑΣ</v>
      </c>
      <c r="F16" s="34" t="s">
        <v>414</v>
      </c>
      <c r="G16" s="34">
        <v>50</v>
      </c>
      <c r="H16" s="137">
        <v>3</v>
      </c>
      <c r="I16" s="255"/>
      <c r="J16" s="137"/>
      <c r="K16" s="255" t="str">
        <f t="shared" si="2"/>
        <v/>
      </c>
      <c r="L16" s="58">
        <f t="shared" si="3"/>
        <v>3</v>
      </c>
      <c r="M16" s="252">
        <v>93.28</v>
      </c>
      <c r="N16" s="264">
        <f t="shared" si="4"/>
        <v>93.28</v>
      </c>
      <c r="O16" s="271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6" s="272" t="str">
        <f t="shared" si="5"/>
        <v xml:space="preserve">Μισή εργάσιμη μέρα </v>
      </c>
      <c r="Q16" s="273">
        <f t="shared" si="5"/>
        <v>0</v>
      </c>
      <c r="S16" s="125" t="str">
        <f t="shared" si="6"/>
        <v/>
      </c>
      <c r="T16" s="194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288" t="s">
        <v>570</v>
      </c>
      <c r="V16" s="288" t="s">
        <v>571</v>
      </c>
      <c r="Y16" s="288" t="s">
        <v>574</v>
      </c>
    </row>
    <row r="17" spans="1:20" ht="60" x14ac:dyDescent="0.25">
      <c r="A17" s="41" t="str">
        <f t="shared" si="0"/>
        <v>B05</v>
      </c>
      <c r="B17" s="38" t="str">
        <f t="shared" si="7"/>
        <v>OTE</v>
      </c>
      <c r="C17" s="38" t="str">
        <f t="shared" si="1"/>
        <v>Άμεση</v>
      </c>
      <c r="D17" s="225">
        <f>IF(S17="",IF(ΓΕΝΙΚΑ!$B$20="ΝΑΙ",15300,""),"")</f>
        <v>15300</v>
      </c>
      <c r="E17" s="285" t="str">
        <f>IF(ΓΕΝΙΚΑ!$B$20="ΝΑΙ","ΠΑΝΕΛΛΑΔΙΚΑ","")</f>
        <v>ΠΑΝΕΛΛΑΔΙΚΑ</v>
      </c>
      <c r="F17" s="8" t="s">
        <v>552</v>
      </c>
      <c r="G17" s="5">
        <v>95</v>
      </c>
      <c r="H17" s="135">
        <v>31</v>
      </c>
      <c r="I17" s="255"/>
      <c r="J17" s="135"/>
      <c r="K17" s="255" t="str">
        <f t="shared" si="2"/>
        <v/>
      </c>
      <c r="L17" s="304">
        <f t="shared" si="3"/>
        <v>31</v>
      </c>
      <c r="M17" s="33">
        <f>M3</f>
        <v>76.790000000000006</v>
      </c>
      <c r="N17" s="234">
        <f>N3</f>
        <v>76.790000000000006</v>
      </c>
      <c r="O17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7" s="272" t="str">
        <f t="shared" si="5"/>
        <v xml:space="preserve">Μισή εργάσιμη μέρα </v>
      </c>
      <c r="Q17" s="273">
        <f t="shared" si="5"/>
        <v>0</v>
      </c>
      <c r="S17" s="125" t="str">
        <f t="shared" si="6"/>
        <v/>
      </c>
      <c r="T17" s="194" t="str">
        <f>IF(L17="",U3,"")</f>
        <v/>
      </c>
    </row>
    <row r="18" spans="1:20" ht="60" x14ac:dyDescent="0.25">
      <c r="A18" s="41" t="str">
        <f t="shared" si="0"/>
        <v>B05</v>
      </c>
      <c r="B18" s="38" t="str">
        <f t="shared" si="7"/>
        <v>OTE</v>
      </c>
      <c r="C18" s="38" t="str">
        <f t="shared" si="1"/>
        <v>Άμεση</v>
      </c>
      <c r="D18" s="223">
        <f>IF(S18="",IF(ΓΕΝΙΚΑ!$B$20="ΝΑΙ",14664,""),"")</f>
        <v>14664</v>
      </c>
      <c r="E18" s="282" t="str">
        <f>IF(ΓΕΝΙΚΑ!$B$20="ΝΑΙ","Π. ΑΝΑΤΟΛΙΚΗΣ ΜΑΚΕΔΟΝΙΑΣ - ΘΡΑΚΗΣ","")</f>
        <v>Π. ΑΝΑΤΟΛΙΚΗΣ ΜΑΚΕΔΟΝΙΑΣ - ΘΡΑΚΗΣ</v>
      </c>
      <c r="F18" s="23" t="s">
        <v>39</v>
      </c>
      <c r="G18" s="23">
        <v>95</v>
      </c>
      <c r="H18" s="136">
        <v>22</v>
      </c>
      <c r="I18" s="255"/>
      <c r="J18" s="136"/>
      <c r="K18" s="255" t="str">
        <f t="shared" si="2"/>
        <v/>
      </c>
      <c r="L18" s="305">
        <f t="shared" si="3"/>
        <v>22</v>
      </c>
      <c r="M18" s="33">
        <f>M4</f>
        <v>86.26</v>
      </c>
      <c r="N18" s="234">
        <f t="shared" ref="N18:N30" si="9">N4</f>
        <v>86.26</v>
      </c>
      <c r="O18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8" s="272" t="str">
        <f t="shared" si="5"/>
        <v xml:space="preserve">Μισή εργάσιμη μέρα </v>
      </c>
      <c r="Q18" s="273">
        <f t="shared" si="5"/>
        <v>0</v>
      </c>
      <c r="S18" s="125" t="str">
        <f t="shared" si="6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60" x14ac:dyDescent="0.25">
      <c r="A19" s="41" t="str">
        <f t="shared" si="0"/>
        <v>B05</v>
      </c>
      <c r="B19" s="38" t="str">
        <f t="shared" si="7"/>
        <v>OTE</v>
      </c>
      <c r="C19" s="38" t="str">
        <f t="shared" si="1"/>
        <v>Άμεση</v>
      </c>
      <c r="D19" s="237">
        <f>IF(S19="",IF(ΓΕΝΙΚΑ!$B$20="ΝΑΙ",14666,""),"")</f>
        <v>14666</v>
      </c>
      <c r="E19" s="283" t="str">
        <f>IF(ΓΕΝΙΚΑ!$B$20="ΝΑΙ","Π. ΑΤΤΙΚΗΣ","")</f>
        <v>Π. ΑΤΤΙΚΗΣ</v>
      </c>
      <c r="F19" s="7" t="s">
        <v>40</v>
      </c>
      <c r="G19" s="7">
        <v>95</v>
      </c>
      <c r="H19" s="136">
        <v>34</v>
      </c>
      <c r="I19" s="255"/>
      <c r="J19" s="136"/>
      <c r="K19" s="255" t="str">
        <f t="shared" si="2"/>
        <v/>
      </c>
      <c r="L19" s="305">
        <f t="shared" si="3"/>
        <v>34</v>
      </c>
      <c r="M19" s="33">
        <f t="shared" ref="M19:M30" si="10">M5</f>
        <v>67.95</v>
      </c>
      <c r="N19" s="234">
        <f t="shared" si="9"/>
        <v>67.95</v>
      </c>
      <c r="O19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19" s="272" t="str">
        <f t="shared" si="5"/>
        <v xml:space="preserve">Μισή εργάσιμη μέρα </v>
      </c>
      <c r="Q19" s="273">
        <f t="shared" si="5"/>
        <v>0</v>
      </c>
      <c r="S19" s="125" t="str">
        <f t="shared" si="6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60" x14ac:dyDescent="0.25">
      <c r="A20" s="41" t="str">
        <f t="shared" si="0"/>
        <v>B05</v>
      </c>
      <c r="B20" s="38" t="str">
        <f t="shared" si="7"/>
        <v>OTE</v>
      </c>
      <c r="C20" s="38" t="str">
        <f t="shared" si="1"/>
        <v>Άμεση</v>
      </c>
      <c r="D20" s="223">
        <f>IF(S20="",IF(ΓΕΝΙΚΑ!$B$20="ΝΑΙ",14668,""),"")</f>
        <v>14668</v>
      </c>
      <c r="E20" s="282" t="str">
        <f>IF(ΓΕΝΙΚΑ!$B$20="ΝΑΙ","Π. ΒΟΡΕΙΟΥ ΑΙΓΑΙΟΥ","")</f>
        <v>Π. ΒΟΡΕΙΟΥ ΑΙΓΑΙΟΥ</v>
      </c>
      <c r="F20" s="23" t="s">
        <v>404</v>
      </c>
      <c r="G20" s="23">
        <v>95</v>
      </c>
      <c r="H20" s="136">
        <v>36</v>
      </c>
      <c r="I20" s="255"/>
      <c r="J20" s="136"/>
      <c r="K20" s="255" t="str">
        <f t="shared" si="2"/>
        <v/>
      </c>
      <c r="L20" s="305">
        <f t="shared" si="3"/>
        <v>36</v>
      </c>
      <c r="M20" s="33">
        <f t="shared" si="10"/>
        <v>79.819999999999993</v>
      </c>
      <c r="N20" s="234">
        <f t="shared" si="9"/>
        <v>79.819999999999993</v>
      </c>
      <c r="O20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0" s="272" t="str">
        <f t="shared" si="5"/>
        <v xml:space="preserve">Μισή εργάσιμη μέρα </v>
      </c>
      <c r="Q20" s="273">
        <f t="shared" si="5"/>
        <v>0</v>
      </c>
      <c r="S20" s="125" t="str">
        <f t="shared" si="6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60" x14ac:dyDescent="0.25">
      <c r="A21" s="41" t="str">
        <f t="shared" si="0"/>
        <v>B05</v>
      </c>
      <c r="B21" s="38" t="str">
        <f t="shared" si="7"/>
        <v>OTE</v>
      </c>
      <c r="C21" s="38" t="str">
        <f t="shared" si="1"/>
        <v>Άμεση</v>
      </c>
      <c r="D21" s="237">
        <f>IF(S21="",IF(ΓΕΝΙΚΑ!$B$20="ΝΑΙ",14670,""),"")</f>
        <v>14670</v>
      </c>
      <c r="E21" s="283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6">
        <v>37</v>
      </c>
      <c r="I21" s="255"/>
      <c r="J21" s="136"/>
      <c r="K21" s="255" t="str">
        <f t="shared" si="2"/>
        <v/>
      </c>
      <c r="L21" s="305">
        <f t="shared" si="3"/>
        <v>37</v>
      </c>
      <c r="M21" s="33">
        <f t="shared" si="10"/>
        <v>72.77</v>
      </c>
      <c r="N21" s="234">
        <f t="shared" si="9"/>
        <v>72.77</v>
      </c>
      <c r="O21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1" s="272" t="str">
        <f t="shared" si="5"/>
        <v xml:space="preserve">Μισή εργάσιμη μέρα </v>
      </c>
      <c r="Q21" s="273">
        <f t="shared" si="5"/>
        <v>0</v>
      </c>
      <c r="S21" s="125" t="str">
        <f t="shared" si="6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60" x14ac:dyDescent="0.25">
      <c r="A22" s="41" t="str">
        <f t="shared" si="0"/>
        <v>B05</v>
      </c>
      <c r="B22" s="38" t="str">
        <f t="shared" si="7"/>
        <v>OTE</v>
      </c>
      <c r="C22" s="38" t="str">
        <f t="shared" si="1"/>
        <v>Άμεση</v>
      </c>
      <c r="D22" s="223">
        <f>IF(S22="",IF(ΓΕΝΙΚΑ!$B$20="ΝΑΙ",14672,""),"")</f>
        <v>14672</v>
      </c>
      <c r="E22" s="282" t="str">
        <f>IF(ΓΕΝΙΚΑ!$B$20="ΝΑΙ","Π. ΔΥΤΙΚΗΣ ΜΑΚΕΔΟΝΙΑΣ","")</f>
        <v>Π. ΔΥΤΙΚΗΣ ΜΑΚΕΔΟΝΙΑΣ</v>
      </c>
      <c r="F22" s="23" t="s">
        <v>406</v>
      </c>
      <c r="G22" s="23">
        <v>95</v>
      </c>
      <c r="H22" s="136">
        <v>17</v>
      </c>
      <c r="I22" s="255"/>
      <c r="J22" s="136"/>
      <c r="K22" s="255" t="str">
        <f t="shared" si="2"/>
        <v/>
      </c>
      <c r="L22" s="305">
        <f t="shared" si="3"/>
        <v>17</v>
      </c>
      <c r="M22" s="33">
        <f t="shared" si="10"/>
        <v>90.44</v>
      </c>
      <c r="N22" s="234">
        <f t="shared" si="9"/>
        <v>90.44</v>
      </c>
      <c r="O22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2" s="272" t="str">
        <f t="shared" si="5"/>
        <v xml:space="preserve">Μισή εργάσιμη μέρα </v>
      </c>
      <c r="Q22" s="273">
        <f t="shared" si="5"/>
        <v>0</v>
      </c>
      <c r="S22" s="125" t="str">
        <f t="shared" si="6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60" x14ac:dyDescent="0.25">
      <c r="A23" s="41" t="str">
        <f t="shared" si="0"/>
        <v>B05</v>
      </c>
      <c r="B23" s="38" t="str">
        <f t="shared" si="7"/>
        <v>OTE</v>
      </c>
      <c r="C23" s="38" t="str">
        <f t="shared" si="1"/>
        <v>Άμεση</v>
      </c>
      <c r="D23" s="237">
        <f>IF(S23="",IF(ΓΕΝΙΚΑ!$B$20="ΝΑΙ",14674,""),"")</f>
        <v>14674</v>
      </c>
      <c r="E23" s="283" t="str">
        <f>IF(ΓΕΝΙΚΑ!$B$20="ΝΑΙ","Π. ΗΠΕΙΡΟΥ","")</f>
        <v>Π. ΗΠΕΙΡΟΥ</v>
      </c>
      <c r="F23" s="7" t="s">
        <v>407</v>
      </c>
      <c r="G23" s="7">
        <v>95</v>
      </c>
      <c r="H23" s="136">
        <v>27</v>
      </c>
      <c r="I23" s="255"/>
      <c r="J23" s="136"/>
      <c r="K23" s="255" t="str">
        <f t="shared" si="2"/>
        <v/>
      </c>
      <c r="L23" s="305">
        <f t="shared" si="3"/>
        <v>27</v>
      </c>
      <c r="M23" s="33">
        <f t="shared" si="10"/>
        <v>84.98</v>
      </c>
      <c r="N23" s="234">
        <f t="shared" si="9"/>
        <v>84.98</v>
      </c>
      <c r="O23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3" s="272" t="str">
        <f t="shared" si="5"/>
        <v xml:space="preserve">Μισή εργάσιμη μέρα </v>
      </c>
      <c r="Q23" s="273">
        <f t="shared" si="5"/>
        <v>0</v>
      </c>
      <c r="S23" s="125" t="str">
        <f t="shared" si="6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60" x14ac:dyDescent="0.25">
      <c r="A24" s="41" t="str">
        <f t="shared" si="0"/>
        <v>B05</v>
      </c>
      <c r="B24" s="38" t="str">
        <f t="shared" si="7"/>
        <v>OTE</v>
      </c>
      <c r="C24" s="38" t="str">
        <f t="shared" si="1"/>
        <v>Άμεση</v>
      </c>
      <c r="D24" s="223">
        <f>IF(S24="",IF(ΓΕΝΙΚΑ!$B$20="ΝΑΙ",14676,""),"")</f>
        <v>14676</v>
      </c>
      <c r="E24" s="282" t="str">
        <f>IF(ΓΕΝΙΚΑ!$B$20="ΝΑΙ","Π. ΘΕΣΣΑΛΙΑΣ","")</f>
        <v>Π. ΘΕΣΣΑΛΙΑΣ</v>
      </c>
      <c r="F24" s="23" t="s">
        <v>408</v>
      </c>
      <c r="G24" s="23">
        <v>95</v>
      </c>
      <c r="H24" s="136">
        <v>42</v>
      </c>
      <c r="I24" s="255"/>
      <c r="J24" s="136"/>
      <c r="K24" s="255" t="str">
        <f t="shared" si="2"/>
        <v/>
      </c>
      <c r="L24" s="305">
        <f t="shared" si="3"/>
        <v>42</v>
      </c>
      <c r="M24" s="33">
        <f t="shared" si="10"/>
        <v>75.45</v>
      </c>
      <c r="N24" s="234">
        <f t="shared" si="9"/>
        <v>75.45</v>
      </c>
      <c r="O24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4" s="272" t="str">
        <f t="shared" si="5"/>
        <v xml:space="preserve">Μισή εργάσιμη μέρα </v>
      </c>
      <c r="Q24" s="273">
        <f t="shared" si="5"/>
        <v>0</v>
      </c>
      <c r="S24" s="125" t="str">
        <f t="shared" si="6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60" x14ac:dyDescent="0.25">
      <c r="A25" s="41" t="str">
        <f t="shared" si="0"/>
        <v>B05</v>
      </c>
      <c r="B25" s="38" t="str">
        <f t="shared" si="7"/>
        <v>OTE</v>
      </c>
      <c r="C25" s="38" t="str">
        <f t="shared" si="1"/>
        <v>Άμεση</v>
      </c>
      <c r="D25" s="237">
        <f>IF(S25="",IF(ΓΕΝΙΚΑ!$B$20="ΝΑΙ",14678,""),"")</f>
        <v>14678</v>
      </c>
      <c r="E25" s="283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6">
        <v>33</v>
      </c>
      <c r="I25" s="255"/>
      <c r="J25" s="136"/>
      <c r="K25" s="255" t="str">
        <f t="shared" si="2"/>
        <v/>
      </c>
      <c r="L25" s="305">
        <f t="shared" si="3"/>
        <v>33</v>
      </c>
      <c r="M25" s="33">
        <f t="shared" si="10"/>
        <v>80.180000000000007</v>
      </c>
      <c r="N25" s="234">
        <f t="shared" si="9"/>
        <v>80.180000000000007</v>
      </c>
      <c r="O25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5" s="272" t="str">
        <f t="shared" si="5"/>
        <v xml:space="preserve">Μισή εργάσιμη μέρα </v>
      </c>
      <c r="Q25" s="273">
        <f t="shared" si="5"/>
        <v>0</v>
      </c>
      <c r="S25" s="125" t="str">
        <f t="shared" si="6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60" x14ac:dyDescent="0.25">
      <c r="A26" s="41" t="str">
        <f t="shared" si="0"/>
        <v>B05</v>
      </c>
      <c r="B26" s="38" t="str">
        <f t="shared" si="7"/>
        <v>OTE</v>
      </c>
      <c r="C26" s="38" t="str">
        <f t="shared" si="1"/>
        <v>Άμεση</v>
      </c>
      <c r="D26" s="223">
        <f>IF(S26="",IF(ΓΕΝΙΚΑ!$B$20="ΝΑΙ",14680,""),"")</f>
        <v>14680</v>
      </c>
      <c r="E26" s="282" t="str">
        <f>IF(ΓΕΝΙΚΑ!$B$20="ΝΑΙ","Π. ΚΕΝΤΡΙΚΗΣ ΜΑΚΕΔΟΝΙΑΣ","")</f>
        <v>Π. ΚΕΝΤΡΙΚΗΣ ΜΑΚΕΔΟΝΙΑΣ</v>
      </c>
      <c r="F26" s="23" t="s">
        <v>410</v>
      </c>
      <c r="G26" s="23">
        <v>95</v>
      </c>
      <c r="H26" s="136">
        <v>22</v>
      </c>
      <c r="I26" s="255"/>
      <c r="J26" s="136"/>
      <c r="K26" s="255" t="str">
        <f t="shared" si="2"/>
        <v/>
      </c>
      <c r="L26" s="305">
        <f t="shared" si="3"/>
        <v>22</v>
      </c>
      <c r="M26" s="33">
        <f t="shared" si="10"/>
        <v>85.13</v>
      </c>
      <c r="N26" s="234">
        <f t="shared" si="9"/>
        <v>85.13</v>
      </c>
      <c r="O26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6" s="272" t="str">
        <f t="shared" si="5"/>
        <v xml:space="preserve">Μισή εργάσιμη μέρα </v>
      </c>
      <c r="Q26" s="273">
        <f t="shared" si="5"/>
        <v>0</v>
      </c>
      <c r="S26" s="125" t="str">
        <f t="shared" si="6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60" x14ac:dyDescent="0.25">
      <c r="A27" s="41" t="str">
        <f t="shared" si="0"/>
        <v>B05</v>
      </c>
      <c r="B27" s="38" t="str">
        <f t="shared" si="7"/>
        <v>OTE</v>
      </c>
      <c r="C27" s="38" t="str">
        <f t="shared" si="1"/>
        <v>Άμεση</v>
      </c>
      <c r="D27" s="237">
        <f>IF(S27="",IF(ΓΕΝΙΚΑ!$B$20="ΝΑΙ",14682,""),"")</f>
        <v>14682</v>
      </c>
      <c r="E27" s="283" t="str">
        <f>IF(ΓΕΝΙΚΑ!$B$20="ΝΑΙ","Π. ΚΡΗΤΗΣ","")</f>
        <v>Π. ΚΡΗΤΗΣ</v>
      </c>
      <c r="F27" s="7" t="s">
        <v>411</v>
      </c>
      <c r="G27" s="7">
        <v>95</v>
      </c>
      <c r="H27" s="136">
        <v>22</v>
      </c>
      <c r="I27" s="255"/>
      <c r="J27" s="136"/>
      <c r="K27" s="255" t="str">
        <f t="shared" si="2"/>
        <v/>
      </c>
      <c r="L27" s="305">
        <f t="shared" si="3"/>
        <v>22</v>
      </c>
      <c r="M27" s="33">
        <f t="shared" si="10"/>
        <v>86.65</v>
      </c>
      <c r="N27" s="234">
        <f t="shared" si="9"/>
        <v>86.65</v>
      </c>
      <c r="O27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7" s="272" t="str">
        <f t="shared" si="5"/>
        <v xml:space="preserve">Μισή εργάσιμη μέρα </v>
      </c>
      <c r="Q27" s="273">
        <f t="shared" si="5"/>
        <v>0</v>
      </c>
      <c r="S27" s="125" t="str">
        <f t="shared" si="6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60" x14ac:dyDescent="0.25">
      <c r="A28" s="41" t="str">
        <f t="shared" si="0"/>
        <v>B05</v>
      </c>
      <c r="B28" s="38" t="str">
        <f t="shared" si="7"/>
        <v>OTE</v>
      </c>
      <c r="C28" s="38" t="str">
        <f t="shared" si="1"/>
        <v>Άμεση</v>
      </c>
      <c r="D28" s="223">
        <f>IF(S28="",IF(ΓΕΝΙΚΑ!$B$20="ΝΑΙ",14684,""),"")</f>
        <v>14684</v>
      </c>
      <c r="E28" s="282" t="str">
        <f>IF(ΓΕΝΙΚΑ!$B$20="ΝΑΙ","Π. ΝΟΤΙΟΥ ΑΙΓΑΙΟΥ","")</f>
        <v>Π. ΝΟΤΙΟΥ ΑΙΓΑΙΟΥ</v>
      </c>
      <c r="F28" s="23" t="s">
        <v>412</v>
      </c>
      <c r="G28" s="23">
        <v>95</v>
      </c>
      <c r="H28" s="136">
        <v>43</v>
      </c>
      <c r="I28" s="255"/>
      <c r="J28" s="136"/>
      <c r="K28" s="255" t="str">
        <f t="shared" si="2"/>
        <v/>
      </c>
      <c r="L28" s="305">
        <f t="shared" si="3"/>
        <v>43</v>
      </c>
      <c r="M28" s="33">
        <f t="shared" si="10"/>
        <v>61.3</v>
      </c>
      <c r="N28" s="234">
        <f t="shared" si="9"/>
        <v>61.3</v>
      </c>
      <c r="O28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8" s="272" t="str">
        <f t="shared" si="5"/>
        <v xml:space="preserve">Μισή εργάσιμη μέρα </v>
      </c>
      <c r="Q28" s="273">
        <f t="shared" si="5"/>
        <v>0</v>
      </c>
      <c r="S28" s="125" t="str">
        <f t="shared" si="6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60" x14ac:dyDescent="0.25">
      <c r="A29" s="41" t="str">
        <f t="shared" si="0"/>
        <v>B05</v>
      </c>
      <c r="B29" s="38" t="str">
        <f t="shared" si="7"/>
        <v>OTE</v>
      </c>
      <c r="C29" s="38" t="str">
        <f t="shared" si="1"/>
        <v>Άμεση</v>
      </c>
      <c r="D29" s="237">
        <f>IF(S29="",IF(ΓΕΝΙΚΑ!$B$20="ΝΑΙ",14686,""),"")</f>
        <v>14686</v>
      </c>
      <c r="E29" s="283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6">
        <v>26</v>
      </c>
      <c r="I29" s="255"/>
      <c r="J29" s="136"/>
      <c r="K29" s="255" t="str">
        <f t="shared" si="2"/>
        <v/>
      </c>
      <c r="L29" s="305">
        <f t="shared" si="3"/>
        <v>26</v>
      </c>
      <c r="M29" s="33">
        <f t="shared" si="10"/>
        <v>84</v>
      </c>
      <c r="N29" s="234">
        <f t="shared" si="9"/>
        <v>84</v>
      </c>
      <c r="O29" s="272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29" s="272" t="str">
        <f t="shared" si="5"/>
        <v xml:space="preserve">Μισή εργάσιμη μέρα </v>
      </c>
      <c r="Q29" s="273">
        <f t="shared" si="5"/>
        <v>0</v>
      </c>
      <c r="S29" s="125" t="str">
        <f t="shared" si="6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60.75" thickBot="1" x14ac:dyDescent="0.3">
      <c r="A30" s="42" t="str">
        <f t="shared" si="0"/>
        <v>B05</v>
      </c>
      <c r="B30" s="43" t="str">
        <f t="shared" si="7"/>
        <v>OTE</v>
      </c>
      <c r="C30" s="43" t="str">
        <f t="shared" si="1"/>
        <v>Άμεση</v>
      </c>
      <c r="D30" s="224">
        <f>IF(S30="",IF(ΓΕΝΙΚΑ!$B$20="ΝΑΙ",14688,""),"")</f>
        <v>14688</v>
      </c>
      <c r="E30" s="284" t="str">
        <f>IF(ΓΕΝΙΚΑ!$B$20="ΝΑΙ","Π. ΣΤΕΡΕΑΣ ΕΛΛΑΔΑΣ","")</f>
        <v>Π. ΣΤΕΡΕΑΣ ΕΛΛΑΔΑΣ</v>
      </c>
      <c r="F30" s="34" t="s">
        <v>414</v>
      </c>
      <c r="G30" s="34">
        <v>95</v>
      </c>
      <c r="H30" s="137">
        <v>14</v>
      </c>
      <c r="I30" s="255"/>
      <c r="J30" s="137"/>
      <c r="K30" s="255" t="str">
        <f t="shared" si="2"/>
        <v/>
      </c>
      <c r="L30" s="306">
        <f t="shared" si="3"/>
        <v>14</v>
      </c>
      <c r="M30" s="35">
        <f t="shared" si="10"/>
        <v>93.28</v>
      </c>
      <c r="N30" s="235">
        <f t="shared" si="9"/>
        <v>93.28</v>
      </c>
      <c r="O30" s="274" t="str">
        <f t="shared" si="8"/>
        <v>Μέσω Καταστημάτων : Δευτέρα - Σάββατο : Ωρες λειτουργίας καταστημάτων
Μέσω τηλεφώνου 13888 : Δευτέρα - Κυριακή : 08:00-23:00 (εκτός επίσημων αργιών)</v>
      </c>
      <c r="P30" s="274" t="str">
        <f t="shared" si="5"/>
        <v xml:space="preserve">Μισή εργάσιμη μέρα </v>
      </c>
      <c r="Q30" s="275">
        <f t="shared" si="5"/>
        <v>0</v>
      </c>
      <c r="S30" s="125" t="str">
        <f t="shared" si="6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307"/>
    </row>
  </sheetData>
  <sheetProtection password="ECDD" sheet="1" objects="1" scenarios="1" formatColumns="0" formatRows="0" selectLockedCell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"/>
  <sheetViews>
    <sheetView topLeftCell="A2" zoomScale="77" zoomScaleNormal="77" workbookViewId="0">
      <selection activeCell="J16" sqref="J16"/>
    </sheetView>
  </sheetViews>
  <sheetFormatPr defaultColWidth="0" defaultRowHeight="15" zeroHeight="1" x14ac:dyDescent="0.25"/>
  <cols>
    <col min="1" max="1" width="23.140625" style="173" customWidth="1"/>
    <col min="2" max="2" width="23" style="173" hidden="1" customWidth="1"/>
    <col min="3" max="3" width="23" style="173" customWidth="1"/>
    <col min="4" max="4" width="27" style="258" hidden="1" customWidth="1"/>
    <col min="5" max="5" width="38.5703125" style="258" hidden="1" customWidth="1"/>
    <col min="6" max="6" width="27.85546875" style="173" customWidth="1"/>
    <col min="7" max="8" width="28.28515625" style="173" customWidth="1"/>
    <col min="9" max="9" width="28.28515625" style="173" hidden="1" customWidth="1"/>
    <col min="10" max="10" width="28.28515625" style="173" customWidth="1"/>
    <col min="11" max="11" width="28.28515625" style="173" hidden="1" customWidth="1"/>
    <col min="12" max="12" width="62.85546875" style="173" customWidth="1"/>
    <col min="13" max="13" width="56.42578125" style="173" customWidth="1"/>
    <col min="14" max="14" width="9.140625" style="173" customWidth="1"/>
    <col min="15" max="15" width="16.140625" style="173" customWidth="1"/>
    <col min="16" max="16" width="58.140625" style="173" customWidth="1"/>
    <col min="17" max="17" width="0" style="173" hidden="1" customWidth="1"/>
    <col min="18" max="16384" width="9.140625" style="173" hidden="1"/>
  </cols>
  <sheetData>
    <row r="1" spans="1:16" ht="15.75" hidden="1" thickBot="1" x14ac:dyDescent="0.3">
      <c r="A1" t="s">
        <v>502</v>
      </c>
      <c r="B1" t="s">
        <v>501</v>
      </c>
      <c r="C1" t="s">
        <v>503</v>
      </c>
      <c r="D1" s="231" t="s">
        <v>900</v>
      </c>
      <c r="E1" s="231" t="s">
        <v>901</v>
      </c>
      <c r="F1" s="83" t="s">
        <v>506</v>
      </c>
      <c r="G1" t="s">
        <v>530</v>
      </c>
      <c r="H1" t="s">
        <v>516</v>
      </c>
      <c r="I1" t="s">
        <v>529</v>
      </c>
      <c r="J1" t="s">
        <v>516</v>
      </c>
      <c r="K1" t="s">
        <v>528</v>
      </c>
      <c r="L1" s="24" t="s">
        <v>531</v>
      </c>
      <c r="M1" s="24" t="s">
        <v>509</v>
      </c>
      <c r="O1" s="24" t="s">
        <v>516</v>
      </c>
      <c r="P1" s="24" t="s">
        <v>516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6"/>
      <c r="E2" s="246"/>
      <c r="F2" s="4" t="s">
        <v>545</v>
      </c>
      <c r="G2" s="4" t="s">
        <v>499</v>
      </c>
      <c r="H2" s="4" t="s">
        <v>560</v>
      </c>
      <c r="I2" s="4" t="s">
        <v>560</v>
      </c>
      <c r="J2" s="4" t="s">
        <v>561</v>
      </c>
      <c r="K2" s="4" t="s">
        <v>561</v>
      </c>
      <c r="L2" s="4" t="s">
        <v>470</v>
      </c>
      <c r="M2" s="22" t="s">
        <v>421</v>
      </c>
      <c r="O2" s="145" t="s">
        <v>452</v>
      </c>
      <c r="P2" s="107" t="s">
        <v>550</v>
      </c>
    </row>
    <row r="3" spans="1:16" ht="105.75" thickTop="1" x14ac:dyDescent="0.25">
      <c r="A3" s="39" t="s">
        <v>468</v>
      </c>
      <c r="B3" s="47" t="str">
        <f>ΓΕΝΙΚΑ!C4</f>
        <v>OTE</v>
      </c>
      <c r="C3" s="260" t="s">
        <v>434</v>
      </c>
      <c r="D3" s="236">
        <f>IF(O3="",IF(ΓΕΝΙΚΑ!$B$21="ΝΑΙ",15300,""),"")</f>
        <v>15300</v>
      </c>
      <c r="E3" s="226" t="str">
        <f>IF(ΓΕΝΙΚΑ!$B$21="ΝΑΙ","ΠΑΝΕΛΛΑΔΙΚΑ","")</f>
        <v>ΠΑΝΕΛΛΑΔΙΚΑ</v>
      </c>
      <c r="F3" s="40" t="s">
        <v>552</v>
      </c>
      <c r="G3" s="279">
        <f>IF(AND(ISNUMBER(H3),ISNUMBER(J3)),ROUND(H3/J3,2),"")</f>
        <v>0.12</v>
      </c>
      <c r="H3" s="150">
        <v>211980</v>
      </c>
      <c r="I3" s="310">
        <f>IF(ISNUMBER(H3),ROUND(H3,0),"")</f>
        <v>211980</v>
      </c>
      <c r="J3" s="149">
        <v>1805285.83333333</v>
      </c>
      <c r="K3" s="310">
        <f>IF(ISNUMBER(J3),ROUND(J3,0),"")</f>
        <v>1805286</v>
      </c>
      <c r="L3" s="250" t="s">
        <v>937</v>
      </c>
      <c r="M3" s="256"/>
      <c r="O3" s="45" t="str">
        <f>IF(P3&lt;&gt;"","ΣΦΑΛΜΑ","")</f>
        <v/>
      </c>
      <c r="P3" s="146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105" x14ac:dyDescent="0.25">
      <c r="A4" s="41" t="str">
        <f t="shared" ref="A4:A16" si="0">A$3</f>
        <v>B06</v>
      </c>
      <c r="B4" s="38" t="str">
        <f t="shared" ref="B4:B16" si="1">B$3</f>
        <v>OTE</v>
      </c>
      <c r="C4" s="38" t="str">
        <f t="shared" ref="C4:C16" si="2">$C$3</f>
        <v>Άμεση</v>
      </c>
      <c r="D4" s="223">
        <f>IF(O4="",IF(ΓΕΝΙΚΑ!$B$21="ΝΑΙ",14664,""),"")</f>
        <v>14664</v>
      </c>
      <c r="E4" s="227" t="str">
        <f>IF(ΓΕΝΙΚΑ!$B$21="ΝΑΙ","Π. ΑΝΑΤΟΛΙΚΗΣ ΜΑΚΕΔΟΝΙΑΣ - ΘΡΑΚΗΣ","")</f>
        <v>Π. ΑΝΑΤΟΛΙΚΗΣ ΜΑΚΕΔΟΝΙΑΣ - ΘΡΑΚΗΣ</v>
      </c>
      <c r="F4" s="23" t="s">
        <v>39</v>
      </c>
      <c r="G4" s="279">
        <f t="shared" ref="G4:G16" si="3">IF(AND(ISNUMBER(H4),ISNUMBER(J4)),ROUND(H4/J4,2),"")</f>
        <v>0.09</v>
      </c>
      <c r="H4" s="150">
        <v>7179</v>
      </c>
      <c r="I4" s="310">
        <f t="shared" ref="I4:I16" si="4">IF(ISNUMBER(H4),ROUND(H4,0),"")</f>
        <v>7179</v>
      </c>
      <c r="J4" s="149">
        <v>77534</v>
      </c>
      <c r="K4" s="310">
        <f t="shared" ref="K4:K16" si="5">IF(ISNUMBER(J4),ROUND(J4,0),"")</f>
        <v>77534</v>
      </c>
      <c r="L4" s="272" t="str">
        <f>L$3</f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4" s="273">
        <f>M$3</f>
        <v>0</v>
      </c>
      <c r="O4" s="125" t="str">
        <f t="shared" ref="O4:O16" si="6">IF(P4&lt;&gt;"","ΣΦΑΛΜΑ","")</f>
        <v/>
      </c>
      <c r="P4" s="147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105" x14ac:dyDescent="0.25">
      <c r="A5" s="41" t="str">
        <f t="shared" si="0"/>
        <v>B06</v>
      </c>
      <c r="B5" s="38" t="str">
        <f t="shared" si="1"/>
        <v>OTE</v>
      </c>
      <c r="C5" s="38" t="str">
        <f t="shared" si="2"/>
        <v>Άμεση</v>
      </c>
      <c r="D5" s="237">
        <f>IF(O5="",IF(ΓΕΝΙΚΑ!$B$21="ΝΑΙ",14666,""),"")</f>
        <v>14666</v>
      </c>
      <c r="E5" s="228" t="str">
        <f>IF(ΓΕΝΙΚΑ!$B$21="ΝΑΙ","Π. ΑΤΤΙΚΗΣ","")</f>
        <v>Π. ΑΤΤΙΚΗΣ</v>
      </c>
      <c r="F5" s="7" t="s">
        <v>40</v>
      </c>
      <c r="G5" s="279">
        <f t="shared" si="3"/>
        <v>0.12</v>
      </c>
      <c r="H5" s="150">
        <v>76568</v>
      </c>
      <c r="I5" s="310">
        <f t="shared" si="4"/>
        <v>76568</v>
      </c>
      <c r="J5" s="149">
        <v>665305.83333333302</v>
      </c>
      <c r="K5" s="310">
        <f t="shared" si="5"/>
        <v>665306</v>
      </c>
      <c r="L5" s="272" t="str">
        <f t="shared" ref="L5:M16" si="7">L$3</f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5" s="273">
        <f t="shared" si="7"/>
        <v>0</v>
      </c>
      <c r="O5" s="125" t="str">
        <f t="shared" si="6"/>
        <v/>
      </c>
      <c r="P5" s="147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105" x14ac:dyDescent="0.25">
      <c r="A6" s="41" t="str">
        <f t="shared" si="0"/>
        <v>B06</v>
      </c>
      <c r="B6" s="38" t="str">
        <f t="shared" si="1"/>
        <v>OTE</v>
      </c>
      <c r="C6" s="38" t="str">
        <f t="shared" si="2"/>
        <v>Άμεση</v>
      </c>
      <c r="D6" s="223">
        <f>IF(O6="",IF(ΓΕΝΙΚΑ!$B$21="ΝΑΙ",14668,""),"")</f>
        <v>14668</v>
      </c>
      <c r="E6" s="227" t="str">
        <f>IF(ΓΕΝΙΚΑ!$B$21="ΝΑΙ","Π. ΒΟΡΕΙΟΥ ΑΙΓΑΙΟΥ","")</f>
        <v>Π. ΒΟΡΕΙΟΥ ΑΙΓΑΙΟΥ</v>
      </c>
      <c r="F6" s="23" t="s">
        <v>404</v>
      </c>
      <c r="G6" s="279">
        <f t="shared" si="3"/>
        <v>0.15</v>
      </c>
      <c r="H6" s="150">
        <v>6261</v>
      </c>
      <c r="I6" s="310">
        <f t="shared" si="4"/>
        <v>6261</v>
      </c>
      <c r="J6" s="149">
        <v>42380</v>
      </c>
      <c r="K6" s="310">
        <f t="shared" si="5"/>
        <v>42380</v>
      </c>
      <c r="L6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6" s="273">
        <f t="shared" si="7"/>
        <v>0</v>
      </c>
      <c r="O6" s="125" t="str">
        <f t="shared" si="6"/>
        <v/>
      </c>
      <c r="P6" s="147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105" x14ac:dyDescent="0.25">
      <c r="A7" s="41" t="str">
        <f t="shared" si="0"/>
        <v>B06</v>
      </c>
      <c r="B7" s="38" t="str">
        <f t="shared" si="1"/>
        <v>OTE</v>
      </c>
      <c r="C7" s="38" t="str">
        <f t="shared" si="2"/>
        <v>Άμεση</v>
      </c>
      <c r="D7" s="237">
        <f>IF(O7="",IF(ΓΕΝΙΚΑ!$B$21="ΝΑΙ",14670,""),"")</f>
        <v>14670</v>
      </c>
      <c r="E7" s="228" t="str">
        <f>IF(ΓΕΝΙΚΑ!$B$21="ΝΑΙ","Π. ΔΥΤΙΚΗΣ ΕΛΛΑΔΑΣ","")</f>
        <v>Π. ΔΥΤΙΚΗΣ ΕΛΛΑΔΑΣ</v>
      </c>
      <c r="F7" s="7" t="s">
        <v>405</v>
      </c>
      <c r="G7" s="279">
        <f t="shared" si="3"/>
        <v>0.12</v>
      </c>
      <c r="H7" s="150">
        <v>11529</v>
      </c>
      <c r="I7" s="310">
        <f t="shared" si="4"/>
        <v>11529</v>
      </c>
      <c r="J7" s="149">
        <v>97289</v>
      </c>
      <c r="K7" s="310">
        <f t="shared" si="5"/>
        <v>97289</v>
      </c>
      <c r="L7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7" s="273">
        <f t="shared" si="7"/>
        <v>0</v>
      </c>
      <c r="O7" s="125" t="str">
        <f t="shared" si="6"/>
        <v/>
      </c>
      <c r="P7" s="147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105" x14ac:dyDescent="0.25">
      <c r="A8" s="41" t="str">
        <f t="shared" si="0"/>
        <v>B06</v>
      </c>
      <c r="B8" s="38" t="str">
        <f t="shared" si="1"/>
        <v>OTE</v>
      </c>
      <c r="C8" s="38" t="str">
        <f t="shared" si="2"/>
        <v>Άμεση</v>
      </c>
      <c r="D8" s="223">
        <f>IF(O8="",IF(ΓΕΝΙΚΑ!$B$21="ΝΑΙ",14672,""),"")</f>
        <v>14672</v>
      </c>
      <c r="E8" s="227" t="str">
        <f>IF(ΓΕΝΙΚΑ!$B$21="ΝΑΙ","Π. ΔΥΤΙΚΗΣ ΜΑΚΕΔΟΝΙΑΣ","")</f>
        <v>Π. ΔΥΤΙΚΗΣ ΜΑΚΕΔΟΝΙΑΣ</v>
      </c>
      <c r="F8" s="23" t="s">
        <v>406</v>
      </c>
      <c r="G8" s="279">
        <f t="shared" si="3"/>
        <v>0.1</v>
      </c>
      <c r="H8" s="150">
        <v>3715</v>
      </c>
      <c r="I8" s="310">
        <f t="shared" si="4"/>
        <v>3715</v>
      </c>
      <c r="J8" s="149">
        <v>35468</v>
      </c>
      <c r="K8" s="310">
        <f t="shared" si="5"/>
        <v>35468</v>
      </c>
      <c r="L8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8" s="273">
        <f t="shared" si="7"/>
        <v>0</v>
      </c>
      <c r="O8" s="125" t="str">
        <f t="shared" si="6"/>
        <v/>
      </c>
      <c r="P8" s="147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105" x14ac:dyDescent="0.25">
      <c r="A9" s="41" t="str">
        <f t="shared" si="0"/>
        <v>B06</v>
      </c>
      <c r="B9" s="38" t="str">
        <f t="shared" si="1"/>
        <v>OTE</v>
      </c>
      <c r="C9" s="38" t="str">
        <f t="shared" si="2"/>
        <v>Άμεση</v>
      </c>
      <c r="D9" s="237">
        <f>IF(O9="",IF(ΓΕΝΙΚΑ!$B$21="ΝΑΙ",14674,""),"")</f>
        <v>14674</v>
      </c>
      <c r="E9" s="228" t="str">
        <f>IF(ΓΕΝΙΚΑ!$B$21="ΝΑΙ","Π. ΗΠΕΙΡΟΥ","")</f>
        <v>Π. ΗΠΕΙΡΟΥ</v>
      </c>
      <c r="F9" s="7" t="s">
        <v>407</v>
      </c>
      <c r="G9" s="279">
        <f t="shared" si="3"/>
        <v>0.14000000000000001</v>
      </c>
      <c r="H9" s="150">
        <v>6880</v>
      </c>
      <c r="I9" s="310">
        <f t="shared" si="4"/>
        <v>6880</v>
      </c>
      <c r="J9" s="149">
        <v>47602</v>
      </c>
      <c r="K9" s="310">
        <f t="shared" si="5"/>
        <v>47602</v>
      </c>
      <c r="L9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9" s="273">
        <f t="shared" si="7"/>
        <v>0</v>
      </c>
      <c r="O9" s="125" t="str">
        <f t="shared" si="6"/>
        <v/>
      </c>
      <c r="P9" s="147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105" x14ac:dyDescent="0.25">
      <c r="A10" s="41" t="str">
        <f t="shared" si="0"/>
        <v>B06</v>
      </c>
      <c r="B10" s="38" t="str">
        <f t="shared" si="1"/>
        <v>OTE</v>
      </c>
      <c r="C10" s="38" t="str">
        <f t="shared" si="2"/>
        <v>Άμεση</v>
      </c>
      <c r="D10" s="223">
        <f>IF(O10="",IF(ΓΕΝΙΚΑ!$B$21="ΝΑΙ",14676,""),"")</f>
        <v>14676</v>
      </c>
      <c r="E10" s="227" t="str">
        <f>IF(ΓΕΝΙΚΑ!$B$21="ΝΑΙ","Π. ΘΕΣΣΑΛΙΑΣ","")</f>
        <v>Π. ΘΕΣΣΑΛΙΑΣ</v>
      </c>
      <c r="F10" s="23" t="s">
        <v>408</v>
      </c>
      <c r="G10" s="279">
        <f t="shared" si="3"/>
        <v>0.11</v>
      </c>
      <c r="H10" s="150">
        <v>10821</v>
      </c>
      <c r="I10" s="310">
        <f t="shared" si="4"/>
        <v>10821</v>
      </c>
      <c r="J10" s="149">
        <v>100615</v>
      </c>
      <c r="K10" s="310">
        <f t="shared" si="5"/>
        <v>100615</v>
      </c>
      <c r="L10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0" s="273">
        <f t="shared" si="7"/>
        <v>0</v>
      </c>
      <c r="O10" s="125" t="str">
        <f t="shared" si="6"/>
        <v/>
      </c>
      <c r="P10" s="147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105" x14ac:dyDescent="0.25">
      <c r="A11" s="41" t="str">
        <f t="shared" si="0"/>
        <v>B06</v>
      </c>
      <c r="B11" s="38" t="str">
        <f t="shared" si="1"/>
        <v>OTE</v>
      </c>
      <c r="C11" s="38" t="str">
        <f t="shared" si="2"/>
        <v>Άμεση</v>
      </c>
      <c r="D11" s="237">
        <f>IF(O11="",IF(ΓΕΝΙΚΑ!$B$21="ΝΑΙ",14678,""),"")</f>
        <v>14678</v>
      </c>
      <c r="E11" s="228" t="str">
        <f>IF(ΓΕΝΙΚΑ!$B$21="ΝΑΙ","Π. ΙΟΝΙΩΝ ΝΗΣΩΝ","")</f>
        <v>Π. ΙΟΝΙΩΝ ΝΗΣΩΝ</v>
      </c>
      <c r="F11" s="7" t="s">
        <v>409</v>
      </c>
      <c r="G11" s="279">
        <f t="shared" si="3"/>
        <v>0.18</v>
      </c>
      <c r="H11" s="150">
        <v>11149</v>
      </c>
      <c r="I11" s="310">
        <f t="shared" si="4"/>
        <v>11149</v>
      </c>
      <c r="J11" s="149">
        <v>62974</v>
      </c>
      <c r="K11" s="310">
        <f t="shared" si="5"/>
        <v>62974</v>
      </c>
      <c r="L11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1" s="273">
        <f t="shared" si="7"/>
        <v>0</v>
      </c>
      <c r="O11" s="125" t="str">
        <f t="shared" si="6"/>
        <v/>
      </c>
      <c r="P11" s="147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105" x14ac:dyDescent="0.25">
      <c r="A12" s="41" t="str">
        <f t="shared" si="0"/>
        <v>B06</v>
      </c>
      <c r="B12" s="38" t="str">
        <f t="shared" si="1"/>
        <v>OTE</v>
      </c>
      <c r="C12" s="38" t="str">
        <f t="shared" si="2"/>
        <v>Άμεση</v>
      </c>
      <c r="D12" s="223">
        <f>IF(O12="",IF(ΓΕΝΙΚΑ!$B$21="ΝΑΙ",14680,""),"")</f>
        <v>14680</v>
      </c>
      <c r="E12" s="227" t="str">
        <f>IF(ΓΕΝΙΚΑ!$B$21="ΝΑΙ","Π. ΚΕΝΤΡΙΚΗΣ ΜΑΚΕΔΟΝΙΑΣ","")</f>
        <v>Π. ΚΕΝΤΡΙΚΗΣ ΜΑΚΕΔΟΝΙΑΣ</v>
      </c>
      <c r="F12" s="23" t="s">
        <v>410</v>
      </c>
      <c r="G12" s="279">
        <f t="shared" si="3"/>
        <v>0.11</v>
      </c>
      <c r="H12" s="150">
        <v>29616</v>
      </c>
      <c r="I12" s="310">
        <f t="shared" si="4"/>
        <v>29616</v>
      </c>
      <c r="J12" s="149">
        <v>266558</v>
      </c>
      <c r="K12" s="310">
        <f t="shared" si="5"/>
        <v>266558</v>
      </c>
      <c r="L12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2" s="273">
        <f t="shared" si="7"/>
        <v>0</v>
      </c>
      <c r="O12" s="125" t="str">
        <f t="shared" si="6"/>
        <v/>
      </c>
      <c r="P12" s="147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105" x14ac:dyDescent="0.25">
      <c r="A13" s="41" t="str">
        <f t="shared" si="0"/>
        <v>B06</v>
      </c>
      <c r="B13" s="38" t="str">
        <f t="shared" si="1"/>
        <v>OTE</v>
      </c>
      <c r="C13" s="38" t="str">
        <f t="shared" si="2"/>
        <v>Άμεση</v>
      </c>
      <c r="D13" s="237">
        <f>IF(O13="",IF(ΓΕΝΙΚΑ!$B$21="ΝΑΙ",14682,""),"")</f>
        <v>14682</v>
      </c>
      <c r="E13" s="228" t="str">
        <f>IF(ΓΕΝΙΚΑ!$B$21="ΝΑΙ","Π. ΚΡΗΤΗΣ","")</f>
        <v>Π. ΚΡΗΤΗΣ</v>
      </c>
      <c r="F13" s="7" t="s">
        <v>411</v>
      </c>
      <c r="G13" s="279">
        <f t="shared" si="3"/>
        <v>0.11</v>
      </c>
      <c r="H13" s="150">
        <v>13333</v>
      </c>
      <c r="I13" s="310">
        <f t="shared" si="4"/>
        <v>13333</v>
      </c>
      <c r="J13" s="149">
        <v>117176</v>
      </c>
      <c r="K13" s="310">
        <f t="shared" si="5"/>
        <v>117176</v>
      </c>
      <c r="L13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3" s="273">
        <f t="shared" si="7"/>
        <v>0</v>
      </c>
      <c r="O13" s="125" t="str">
        <f t="shared" si="6"/>
        <v/>
      </c>
      <c r="P13" s="147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105" x14ac:dyDescent="0.25">
      <c r="A14" s="41" t="str">
        <f t="shared" si="0"/>
        <v>B06</v>
      </c>
      <c r="B14" s="38" t="str">
        <f t="shared" si="1"/>
        <v>OTE</v>
      </c>
      <c r="C14" s="38" t="str">
        <f t="shared" si="2"/>
        <v>Άμεση</v>
      </c>
      <c r="D14" s="223">
        <f>IF(O14="",IF(ΓΕΝΙΚΑ!$B$21="ΝΑΙ",14684,""),"")</f>
        <v>14684</v>
      </c>
      <c r="E14" s="227" t="str">
        <f>IF(ΓΕΝΙΚΑ!$B$21="ΝΑΙ","Π. ΝΟΤΙΟΥ ΑΙΓΑΙΟΥ","")</f>
        <v>Π. ΝΟΤΙΟΥ ΑΙΓΑΙΟΥ</v>
      </c>
      <c r="F14" s="23" t="s">
        <v>412</v>
      </c>
      <c r="G14" s="279">
        <f t="shared" si="3"/>
        <v>0.12</v>
      </c>
      <c r="H14" s="150">
        <v>11815</v>
      </c>
      <c r="I14" s="310">
        <f t="shared" si="4"/>
        <v>11815</v>
      </c>
      <c r="J14" s="149">
        <v>96911</v>
      </c>
      <c r="K14" s="310">
        <f t="shared" si="5"/>
        <v>96911</v>
      </c>
      <c r="L14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4" s="273">
        <f t="shared" si="7"/>
        <v>0</v>
      </c>
      <c r="O14" s="125" t="str">
        <f t="shared" si="6"/>
        <v/>
      </c>
      <c r="P14" s="147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105" x14ac:dyDescent="0.25">
      <c r="A15" s="41" t="str">
        <f t="shared" si="0"/>
        <v>B06</v>
      </c>
      <c r="B15" s="38" t="str">
        <f t="shared" si="1"/>
        <v>OTE</v>
      </c>
      <c r="C15" s="38" t="str">
        <f t="shared" si="2"/>
        <v>Άμεση</v>
      </c>
      <c r="D15" s="237">
        <f>IF(O15="",IF(ΓΕΝΙΚΑ!$B$21="ΝΑΙ",14686,""),"")</f>
        <v>14686</v>
      </c>
      <c r="E15" s="228" t="str">
        <f>IF(ΓΕΝΙΚΑ!$B$21="ΝΑΙ","Π. ΠΕΛΟΠΟΝΝΗΣΟΥ","")</f>
        <v>Π. ΠΕΛΟΠΟΝΝΗΣΟΥ</v>
      </c>
      <c r="F15" s="7" t="s">
        <v>413</v>
      </c>
      <c r="G15" s="279">
        <f t="shared" si="3"/>
        <v>0.12</v>
      </c>
      <c r="H15" s="150">
        <v>12708</v>
      </c>
      <c r="I15" s="310">
        <f t="shared" si="4"/>
        <v>12708</v>
      </c>
      <c r="J15" s="149">
        <v>107815</v>
      </c>
      <c r="K15" s="310">
        <f t="shared" si="5"/>
        <v>107815</v>
      </c>
      <c r="L15" s="272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5" s="273">
        <f t="shared" si="7"/>
        <v>0</v>
      </c>
      <c r="O15" s="125" t="str">
        <f t="shared" si="6"/>
        <v/>
      </c>
      <c r="P15" s="147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05.75" thickBot="1" x14ac:dyDescent="0.3">
      <c r="A16" s="42" t="str">
        <f t="shared" si="0"/>
        <v>B06</v>
      </c>
      <c r="B16" s="43" t="str">
        <f t="shared" si="1"/>
        <v>OTE</v>
      </c>
      <c r="C16" s="43" t="str">
        <f t="shared" si="2"/>
        <v>Άμεση</v>
      </c>
      <c r="D16" s="224">
        <f>IF(O16="",IF(ΓΕΝΙΚΑ!$B$21="ΝΑΙ",14688,""),"")</f>
        <v>14688</v>
      </c>
      <c r="E16" s="229" t="str">
        <f>IF(ΓΕΝΙΚΑ!$B$21="ΝΑΙ","Π. ΣΤΕΡΕΑΣ ΕΛΛΑΔΑΣ","")</f>
        <v>Π. ΣΤΕΡΕΑΣ ΕΛΛΑΔΑΣ</v>
      </c>
      <c r="F16" s="34" t="s">
        <v>414</v>
      </c>
      <c r="G16" s="279">
        <f t="shared" si="3"/>
        <v>0.12</v>
      </c>
      <c r="H16" s="150">
        <v>10406</v>
      </c>
      <c r="I16" s="310">
        <f t="shared" si="4"/>
        <v>10406</v>
      </c>
      <c r="J16" s="149">
        <v>87658</v>
      </c>
      <c r="K16" s="310">
        <f t="shared" si="5"/>
        <v>87658</v>
      </c>
      <c r="L16" s="274" t="str">
        <f t="shared" si="7"/>
        <v>Μέσω Καταστημάτων : Δευτέρα - Σάββατο : Ωρες λειτουργίας καταστημάτων
Μέσω τηλεφώνου 13888: 
Δευτέρα - Κυριακή &amp;  αργίες : 00:00-24:00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M16" s="275">
        <f t="shared" si="7"/>
        <v>0</v>
      </c>
      <c r="O16" s="126" t="str">
        <f t="shared" si="6"/>
        <v/>
      </c>
      <c r="P16" s="148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password="ECDD" sheet="1" objects="1" scenarios="1" formatColumns="0" formatRows="0" selectLockedCell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>
      <formula1>Serv_Type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"/>
  <sheetViews>
    <sheetView topLeftCell="A2" zoomScale="69" zoomScaleNormal="69" workbookViewId="0">
      <selection activeCell="M30" sqref="M30"/>
    </sheetView>
  </sheetViews>
  <sheetFormatPr defaultColWidth="0" defaultRowHeight="15" zeroHeight="1" x14ac:dyDescent="0.25"/>
  <cols>
    <col min="1" max="1" width="30.85546875" style="173" customWidth="1"/>
    <col min="2" max="2" width="23" style="173" hidden="1" customWidth="1"/>
    <col min="3" max="3" width="23" style="173" customWidth="1"/>
    <col min="4" max="4" width="38.140625" style="258" hidden="1" customWidth="1"/>
    <col min="5" max="5" width="37.42578125" style="258" hidden="1" customWidth="1"/>
    <col min="6" max="6" width="26.28515625" style="173" customWidth="1"/>
    <col min="7" max="7" width="26" style="173" customWidth="1"/>
    <col min="8" max="8" width="28.28515625" style="173" customWidth="1"/>
    <col min="9" max="9" width="28.28515625" style="173" hidden="1" customWidth="1"/>
    <col min="10" max="10" width="35.140625" style="173" customWidth="1"/>
    <col min="11" max="11" width="28.28515625" style="173" hidden="1" customWidth="1"/>
    <col min="12" max="13" width="28.28515625" style="173" customWidth="1"/>
    <col min="14" max="14" width="28.28515625" style="173" hidden="1" customWidth="1"/>
    <col min="15" max="15" width="40.28515625" style="173" customWidth="1"/>
    <col min="16" max="17" width="31.28515625" style="173" customWidth="1"/>
    <col min="18" max="18" width="9.140625" style="173" customWidth="1"/>
    <col min="19" max="19" width="16.140625" style="173" customWidth="1"/>
    <col min="20" max="20" width="72.7109375" style="173" customWidth="1"/>
    <col min="21" max="16384" width="9.140625" style="173" hidden="1"/>
  </cols>
  <sheetData>
    <row r="1" spans="1:28" ht="15.75" hidden="1" thickBot="1" x14ac:dyDescent="0.3">
      <c r="A1" t="s">
        <v>502</v>
      </c>
      <c r="B1" t="s">
        <v>501</v>
      </c>
      <c r="C1" s="2" t="s">
        <v>503</v>
      </c>
      <c r="D1" s="231" t="s">
        <v>900</v>
      </c>
      <c r="E1" s="231" t="s">
        <v>901</v>
      </c>
      <c r="F1" s="64" t="s">
        <v>506</v>
      </c>
      <c r="G1" t="s">
        <v>521</v>
      </c>
      <c r="H1" t="s">
        <v>516</v>
      </c>
      <c r="I1" t="s">
        <v>532</v>
      </c>
      <c r="J1" t="s">
        <v>516</v>
      </c>
      <c r="K1" t="s">
        <v>533</v>
      </c>
      <c r="L1" t="s">
        <v>534</v>
      </c>
      <c r="M1" t="s">
        <v>516</v>
      </c>
      <c r="N1" s="230" t="s">
        <v>516</v>
      </c>
      <c r="O1" s="24" t="s">
        <v>919</v>
      </c>
      <c r="P1" s="2" t="s">
        <v>535</v>
      </c>
      <c r="Q1" s="24" t="s">
        <v>509</v>
      </c>
      <c r="S1" s="24" t="s">
        <v>516</v>
      </c>
      <c r="T1" s="24" t="s">
        <v>516</v>
      </c>
    </row>
    <row r="2" spans="1:28" ht="108.75" thickBot="1" x14ac:dyDescent="0.3">
      <c r="A2" s="3" t="s">
        <v>422</v>
      </c>
      <c r="B2" s="4" t="s">
        <v>28</v>
      </c>
      <c r="C2" s="4" t="s">
        <v>433</v>
      </c>
      <c r="D2" s="232"/>
      <c r="E2" s="232"/>
      <c r="F2" s="4" t="s">
        <v>545</v>
      </c>
      <c r="G2" s="4" t="s">
        <v>500</v>
      </c>
      <c r="H2" s="4" t="s">
        <v>562</v>
      </c>
      <c r="I2" s="4" t="s">
        <v>562</v>
      </c>
      <c r="J2" s="4" t="s">
        <v>569</v>
      </c>
      <c r="K2" s="4" t="s">
        <v>563</v>
      </c>
      <c r="L2" s="4" t="s">
        <v>564</v>
      </c>
      <c r="M2" s="4" t="s">
        <v>565</v>
      </c>
      <c r="N2" s="4" t="s">
        <v>565</v>
      </c>
      <c r="O2" s="4" t="s">
        <v>470</v>
      </c>
      <c r="P2" s="85" t="s">
        <v>465</v>
      </c>
      <c r="Q2" s="22" t="s">
        <v>421</v>
      </c>
      <c r="S2" s="124" t="s">
        <v>452</v>
      </c>
      <c r="T2" s="107" t="s">
        <v>550</v>
      </c>
      <c r="W2" s="287" t="s">
        <v>913</v>
      </c>
      <c r="X2" s="287" t="s">
        <v>914</v>
      </c>
    </row>
    <row r="3" spans="1:28" ht="150.75" thickTop="1" x14ac:dyDescent="0.25">
      <c r="A3" s="39" t="s">
        <v>467</v>
      </c>
      <c r="B3" s="47" t="str">
        <f>ΓΕΝΙΚΑ!C4</f>
        <v>OTE</v>
      </c>
      <c r="C3" s="134" t="s">
        <v>434</v>
      </c>
      <c r="D3" s="236">
        <f>IF(S3="",IF(ΓΕΝΙΚΑ!$B$22="ΝΑΙ",15300,""),"")</f>
        <v>15300</v>
      </c>
      <c r="E3" s="226" t="str">
        <f>IF(ΓΕΝΙΚΑ!$B$22="ΝΑΙ","ΠΑΝΕΛΛΑΔΙΚΑ","")</f>
        <v>ΠΑΝΕΛΛΑΔΙΚΑ</v>
      </c>
      <c r="F3" s="40" t="s">
        <v>552</v>
      </c>
      <c r="G3" s="5">
        <v>50</v>
      </c>
      <c r="H3" s="135">
        <v>41</v>
      </c>
      <c r="I3" s="139"/>
      <c r="J3" s="135"/>
      <c r="K3" s="139" t="str">
        <f>IF(ISNUMBER(J3),ROUND(J3,2),"")</f>
        <v/>
      </c>
      <c r="L3" s="59">
        <f>IF(AND(ISNUMBER(H3),ISNUMBER(J3)),ROUND(H3+J3,0),IF(ISNUMBER(H3),ROUND(H3,0),IF(ISNUMBER(J3),ROUND(J3,0),"")))</f>
        <v>41</v>
      </c>
      <c r="M3" s="152">
        <v>9</v>
      </c>
      <c r="N3" s="311">
        <f>IF(ISNUMBER(M3),ROUND(M3,2),"")</f>
        <v>9</v>
      </c>
      <c r="O3" s="257" t="s">
        <v>935</v>
      </c>
      <c r="P3" s="253" t="s">
        <v>936</v>
      </c>
      <c r="Q3" s="254"/>
      <c r="S3" s="125" t="str">
        <f>IF(T3="","","ΣΦΑΛΜΑ")</f>
        <v/>
      </c>
      <c r="T3" s="197" t="str">
        <f>CONCATENATE(IF(NOT(ISNUMBER(H3)),U3,IF(H3&gt;H17,W3,"")),IF(J3&gt;J17,X3,""),IF(NOT(ISNUMBER(M3)),AA3,IF(M3&gt;M17,AB3,"")))</f>
        <v/>
      </c>
      <c r="U3" s="287" t="s">
        <v>570</v>
      </c>
      <c r="V3" s="287" t="s">
        <v>912</v>
      </c>
      <c r="W3" s="287"/>
      <c r="X3" s="287"/>
      <c r="Y3" s="287" t="s">
        <v>915</v>
      </c>
      <c r="Z3" s="287" t="s">
        <v>574</v>
      </c>
      <c r="AA3" s="287" t="s">
        <v>916</v>
      </c>
      <c r="AB3" s="173" t="s">
        <v>917</v>
      </c>
    </row>
    <row r="4" spans="1:28" ht="150" x14ac:dyDescent="0.25">
      <c r="A4" s="41" t="str">
        <f t="shared" ref="A4:B30" si="0">A$3</f>
        <v>B07</v>
      </c>
      <c r="B4" s="38" t="str">
        <f t="shared" si="0"/>
        <v>OTE</v>
      </c>
      <c r="C4" s="38" t="str">
        <f t="shared" ref="C4:C30" si="1">$C$3</f>
        <v>Άμεση</v>
      </c>
      <c r="D4" s="223">
        <f>IF(S4="",IF(ΓΕΝΙΚΑ!$B$22="ΝΑΙ",14664,""),"")</f>
        <v>14664</v>
      </c>
      <c r="E4" s="227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6">
        <v>27</v>
      </c>
      <c r="I4" s="255">
        <f t="shared" ref="I4:I30" si="2">IF(ISNUMBER(H4),ROUND(H4,2),"")</f>
        <v>27</v>
      </c>
      <c r="J4" s="136"/>
      <c r="K4" s="255" t="str">
        <f t="shared" ref="K4:K30" si="3">IF(ISNUMBER(J4),ROUND(J4,2),"")</f>
        <v/>
      </c>
      <c r="L4" s="57">
        <f t="shared" ref="L4:L30" si="4">IF(AND(ISNUMBER(H4),ISNUMBER(J4)),ROUND(H4+J4,0),IF(ISNUMBER(H4),ROUND(H4,0),IF(ISNUMBER(J4),ROUND(J4,0),"")))</f>
        <v>27</v>
      </c>
      <c r="M4" s="153">
        <v>6</v>
      </c>
      <c r="N4" s="311">
        <f t="shared" ref="N4:N30" si="5">IF(ISNUMBER(M4),ROUND(M4,2),"")</f>
        <v>6</v>
      </c>
      <c r="O4" s="272" t="str">
        <f>O$3</f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4" s="272" t="str">
        <f t="shared" ref="P4:Q30" si="6">P$3</f>
        <v>Μισή εργάσιμη μέρα</v>
      </c>
      <c r="Q4" s="273">
        <f t="shared" si="6"/>
        <v>0</v>
      </c>
      <c r="S4" s="125" t="str">
        <f t="shared" ref="S4:S30" si="7">IF(T4="","","ΣΦΑΛΜΑ")</f>
        <v/>
      </c>
      <c r="T4" s="197" t="str">
        <f>IF(ΠΕΡΙΦΕΡΕΙΑ!B2="Καθόλου",IF(OR(H4&lt;&gt;"",J4&lt;&gt;"",M4&lt;&gt;""),"Η περιφέρεια δεν καλύπτεται",""),CONCATENATE(IF(NOT(ISNUMBER(H4)),U4,IF(H4&gt;H18,W4,"")),IF(J4&gt;J18,X4,""),IF(NOT(ISNUMBER(M4)),AA4,IF(M4&gt;M18,AB4,""))))</f>
        <v/>
      </c>
      <c r="U4" s="287" t="s">
        <v>570</v>
      </c>
      <c r="V4" s="287" t="s">
        <v>912</v>
      </c>
      <c r="W4" s="287"/>
      <c r="X4" s="287"/>
      <c r="Y4" s="287" t="s">
        <v>915</v>
      </c>
      <c r="Z4" s="287" t="s">
        <v>574</v>
      </c>
      <c r="AA4" s="287" t="s">
        <v>916</v>
      </c>
      <c r="AB4" s="258" t="s">
        <v>917</v>
      </c>
    </row>
    <row r="5" spans="1:28" ht="150" x14ac:dyDescent="0.25">
      <c r="A5" s="41" t="str">
        <f t="shared" si="0"/>
        <v>B07</v>
      </c>
      <c r="B5" s="38" t="str">
        <f t="shared" si="0"/>
        <v>OTE</v>
      </c>
      <c r="C5" s="38" t="str">
        <f t="shared" si="1"/>
        <v>Άμεση</v>
      </c>
      <c r="D5" s="237">
        <f>IF(S5="",IF(ΓΕΝΙΚΑ!$B$22="ΝΑΙ",14666,""),"")</f>
        <v>14666</v>
      </c>
      <c r="E5" s="228" t="str">
        <f>IF(ΓΕΝΙΚΑ!$B$22="ΝΑΙ","Π. ΑΤΤΙΚΗΣ","")</f>
        <v>Π. ΑΤΤΙΚΗΣ</v>
      </c>
      <c r="F5" s="7" t="s">
        <v>40</v>
      </c>
      <c r="G5" s="7">
        <v>50</v>
      </c>
      <c r="H5" s="136">
        <v>42</v>
      </c>
      <c r="I5" s="255">
        <f t="shared" si="2"/>
        <v>42</v>
      </c>
      <c r="J5" s="136"/>
      <c r="K5" s="255" t="str">
        <f t="shared" si="3"/>
        <v/>
      </c>
      <c r="L5" s="57">
        <f t="shared" si="4"/>
        <v>42</v>
      </c>
      <c r="M5" s="153">
        <v>11</v>
      </c>
      <c r="N5" s="311">
        <f t="shared" si="5"/>
        <v>11</v>
      </c>
      <c r="O5" s="272" t="str">
        <f t="shared" ref="O5:O30" si="8">O$3</f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5" s="272" t="str">
        <f t="shared" si="6"/>
        <v>Μισή εργάσιμη μέρα</v>
      </c>
      <c r="Q5" s="273">
        <f t="shared" si="6"/>
        <v>0</v>
      </c>
      <c r="S5" s="125" t="str">
        <f t="shared" si="7"/>
        <v/>
      </c>
      <c r="T5" s="197" t="str">
        <f>IF(ΠΕΡΙΦΕΡΕΙΑ!B3="Καθόλου",IF(OR(H5&lt;&gt;"",J5&lt;&gt;"",M5&lt;&gt;""),"Η περιφέρεια δεν καλύπτεται",""),CONCATENATE(IF(NOT(ISNUMBER(H5)),U5,IF(H5&gt;H19,W5,"")),IF(J5&gt;J19,X5,""),IF(NOT(ISNUMBER(M5)),AA5,IF(M5&gt;M19,AB5,""))))</f>
        <v/>
      </c>
      <c r="U5" s="287" t="s">
        <v>570</v>
      </c>
      <c r="V5" s="287" t="s">
        <v>912</v>
      </c>
      <c r="W5" s="287"/>
      <c r="X5" s="287"/>
      <c r="Y5" s="287" t="s">
        <v>915</v>
      </c>
      <c r="Z5" s="287" t="s">
        <v>574</v>
      </c>
      <c r="AA5" s="287" t="s">
        <v>916</v>
      </c>
      <c r="AB5" s="258" t="s">
        <v>917</v>
      </c>
    </row>
    <row r="6" spans="1:28" ht="150" x14ac:dyDescent="0.25">
      <c r="A6" s="41" t="str">
        <f t="shared" si="0"/>
        <v>B07</v>
      </c>
      <c r="B6" s="38" t="str">
        <f t="shared" si="0"/>
        <v>OTE</v>
      </c>
      <c r="C6" s="38" t="str">
        <f t="shared" si="1"/>
        <v>Άμεση</v>
      </c>
      <c r="D6" s="223">
        <f>IF(S6="",IF(ΓΕΝΙΚΑ!$B$22="ΝΑΙ",14668,""),"")</f>
        <v>14668</v>
      </c>
      <c r="E6" s="227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6">
        <v>37</v>
      </c>
      <c r="I6" s="255">
        <f t="shared" si="2"/>
        <v>37</v>
      </c>
      <c r="J6" s="136"/>
      <c r="K6" s="255" t="str">
        <f t="shared" si="3"/>
        <v/>
      </c>
      <c r="L6" s="57">
        <f t="shared" si="4"/>
        <v>37</v>
      </c>
      <c r="M6" s="153">
        <v>9</v>
      </c>
      <c r="N6" s="311">
        <f t="shared" si="5"/>
        <v>9</v>
      </c>
      <c r="O6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6" s="272" t="str">
        <f t="shared" si="6"/>
        <v>Μισή εργάσιμη μέρα</v>
      </c>
      <c r="Q6" s="273">
        <f t="shared" si="6"/>
        <v>0</v>
      </c>
      <c r="S6" s="125" t="str">
        <f t="shared" si="7"/>
        <v/>
      </c>
      <c r="T6" s="197" t="str">
        <f>IF(ΠΕΡΙΦΕΡΕΙΑ!B4="Καθόλου",IF(OR(H6&lt;&gt;"",J6&lt;&gt;"",M6&lt;&gt;""),"Η περιφέρεια δεν καλύπτεται",""),CONCATENATE(IF(NOT(ISNUMBER(H6)),U6,IF(H6&gt;H20,W6,"")),IF(J6&gt;J20,X6,""),IF(NOT(ISNUMBER(M6)),AA6,IF(M6&gt;M20,AB6,""))))</f>
        <v/>
      </c>
      <c r="U6" s="287" t="s">
        <v>570</v>
      </c>
      <c r="V6" s="287" t="s">
        <v>912</v>
      </c>
      <c r="W6" s="287"/>
      <c r="X6" s="287"/>
      <c r="Y6" s="287" t="s">
        <v>915</v>
      </c>
      <c r="Z6" s="287" t="s">
        <v>574</v>
      </c>
      <c r="AA6" s="287" t="s">
        <v>916</v>
      </c>
      <c r="AB6" s="258" t="s">
        <v>917</v>
      </c>
    </row>
    <row r="7" spans="1:28" ht="150" x14ac:dyDescent="0.25">
      <c r="A7" s="41" t="str">
        <f t="shared" si="0"/>
        <v>B07</v>
      </c>
      <c r="B7" s="38" t="str">
        <f t="shared" si="0"/>
        <v>OTE</v>
      </c>
      <c r="C7" s="38" t="str">
        <f t="shared" si="1"/>
        <v>Άμεση</v>
      </c>
      <c r="D7" s="237">
        <f>IF(S7="",IF(ΓΕΝΙΚΑ!$B$22="ΝΑΙ",14670,""),"")</f>
        <v>14670</v>
      </c>
      <c r="E7" s="228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6">
        <v>47</v>
      </c>
      <c r="I7" s="255">
        <f t="shared" si="2"/>
        <v>47</v>
      </c>
      <c r="J7" s="136"/>
      <c r="K7" s="255" t="str">
        <f t="shared" si="3"/>
        <v/>
      </c>
      <c r="L7" s="57">
        <f t="shared" si="4"/>
        <v>47</v>
      </c>
      <c r="M7" s="153">
        <v>12</v>
      </c>
      <c r="N7" s="311">
        <f t="shared" si="5"/>
        <v>12</v>
      </c>
      <c r="O7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7" s="272" t="str">
        <f t="shared" si="6"/>
        <v>Μισή εργάσιμη μέρα</v>
      </c>
      <c r="Q7" s="273">
        <f t="shared" si="6"/>
        <v>0</v>
      </c>
      <c r="S7" s="125" t="str">
        <f t="shared" si="7"/>
        <v/>
      </c>
      <c r="T7" s="197" t="str">
        <f>IF(ΠΕΡΙΦΕΡΕΙΑ!B5="Καθόλου",IF(OR(H7&lt;&gt;"",J7&lt;&gt;"",M7&lt;&gt;""),"Η περιφέρεια δεν καλύπτεται",""),CONCATENATE(IF(NOT(ISNUMBER(H7)),U7,IF(H7&gt;H21,W7,"")),IF(J7&gt;J21,X7,""),IF(NOT(ISNUMBER(M7)),AA7,IF(M7&gt;M21,AB7,""))))</f>
        <v/>
      </c>
      <c r="U7" s="287" t="s">
        <v>570</v>
      </c>
      <c r="V7" s="287" t="s">
        <v>912</v>
      </c>
      <c r="W7" s="287"/>
      <c r="X7" s="287"/>
      <c r="Y7" s="287" t="s">
        <v>915</v>
      </c>
      <c r="Z7" s="287" t="s">
        <v>574</v>
      </c>
      <c r="AA7" s="287" t="s">
        <v>916</v>
      </c>
      <c r="AB7" s="258" t="s">
        <v>917</v>
      </c>
    </row>
    <row r="8" spans="1:28" ht="150" x14ac:dyDescent="0.25">
      <c r="A8" s="41" t="str">
        <f t="shared" si="0"/>
        <v>B07</v>
      </c>
      <c r="B8" s="38" t="str">
        <f t="shared" si="0"/>
        <v>OTE</v>
      </c>
      <c r="C8" s="38" t="str">
        <f t="shared" si="1"/>
        <v>Άμεση</v>
      </c>
      <c r="D8" s="223">
        <f>IF(S8="",IF(ΓΕΝΙΚΑ!$B$22="ΝΑΙ",14672,""),"")</f>
        <v>14672</v>
      </c>
      <c r="E8" s="227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6">
        <v>30</v>
      </c>
      <c r="I8" s="255">
        <f t="shared" si="2"/>
        <v>30</v>
      </c>
      <c r="J8" s="136"/>
      <c r="K8" s="255" t="str">
        <f t="shared" si="3"/>
        <v/>
      </c>
      <c r="L8" s="57">
        <f t="shared" si="4"/>
        <v>30</v>
      </c>
      <c r="M8" s="153">
        <v>5</v>
      </c>
      <c r="N8" s="311">
        <f t="shared" si="5"/>
        <v>5</v>
      </c>
      <c r="O8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8" s="272" t="str">
        <f t="shared" si="6"/>
        <v>Μισή εργάσιμη μέρα</v>
      </c>
      <c r="Q8" s="273">
        <f t="shared" si="6"/>
        <v>0</v>
      </c>
      <c r="S8" s="125" t="str">
        <f t="shared" si="7"/>
        <v/>
      </c>
      <c r="T8" s="197" t="str">
        <f>IF(ΠΕΡΙΦΕΡΕΙΑ!B6="Καθόλου",IF(OR(H8&lt;&gt;"",J8&lt;&gt;"",M8&lt;&gt;""),"Η περιφέρεια δεν καλύπτεται",""),CONCATENATE(IF(NOT(ISNUMBER(H8)),U8,IF(H8&gt;H22,W8,"")),IF(J8&gt;J22,X8,""),IF(NOT(ISNUMBER(M8)),AA8,IF(M8&gt;M22,AB8,""))))</f>
        <v/>
      </c>
      <c r="U8" s="287" t="s">
        <v>570</v>
      </c>
      <c r="V8" s="287" t="s">
        <v>912</v>
      </c>
      <c r="W8" s="287"/>
      <c r="X8" s="287"/>
      <c r="Y8" s="287" t="s">
        <v>915</v>
      </c>
      <c r="Z8" s="287" t="s">
        <v>574</v>
      </c>
      <c r="AA8" s="287" t="s">
        <v>916</v>
      </c>
      <c r="AB8" s="258" t="s">
        <v>917</v>
      </c>
    </row>
    <row r="9" spans="1:28" ht="150" x14ac:dyDescent="0.25">
      <c r="A9" s="41" t="str">
        <f t="shared" si="0"/>
        <v>B07</v>
      </c>
      <c r="B9" s="38" t="str">
        <f t="shared" si="0"/>
        <v>OTE</v>
      </c>
      <c r="C9" s="38" t="str">
        <f t="shared" si="1"/>
        <v>Άμεση</v>
      </c>
      <c r="D9" s="237">
        <f>IF(S9="",IF(ΓΕΝΙΚΑ!$B$22="ΝΑΙ",14674,""),"")</f>
        <v>14674</v>
      </c>
      <c r="E9" s="228" t="str">
        <f>IF(ΓΕΝΙΚΑ!$B$22="ΝΑΙ","Π. ΗΠΕΙΡΟΥ","")</f>
        <v>Π. ΗΠΕΙΡΟΥ</v>
      </c>
      <c r="F9" s="7" t="s">
        <v>407</v>
      </c>
      <c r="G9" s="7">
        <v>50</v>
      </c>
      <c r="H9" s="136">
        <v>39</v>
      </c>
      <c r="I9" s="255">
        <f t="shared" si="2"/>
        <v>39</v>
      </c>
      <c r="J9" s="136"/>
      <c r="K9" s="255" t="str">
        <f t="shared" si="3"/>
        <v/>
      </c>
      <c r="L9" s="57">
        <f t="shared" si="4"/>
        <v>39</v>
      </c>
      <c r="M9" s="153">
        <v>7</v>
      </c>
      <c r="N9" s="311">
        <f t="shared" si="5"/>
        <v>7</v>
      </c>
      <c r="O9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9" s="272" t="str">
        <f t="shared" si="6"/>
        <v>Μισή εργάσιμη μέρα</v>
      </c>
      <c r="Q9" s="273">
        <f t="shared" si="6"/>
        <v>0</v>
      </c>
      <c r="S9" s="125" t="str">
        <f t="shared" si="7"/>
        <v/>
      </c>
      <c r="T9" s="197" t="str">
        <f>IF(ΠΕΡΙΦΕΡΕΙΑ!B7="Καθόλου",IF(OR(H9&lt;&gt;"",J9&lt;&gt;"",M9&lt;&gt;""),"Η περιφέρεια δεν καλύπτεται",""),CONCATENATE(IF(NOT(ISNUMBER(H9)),U9,IF(H9&gt;H23,W9,"")),IF(J9&gt;J23,X9,""),IF(NOT(ISNUMBER(M9)),AA9,IF(M9&gt;M23,AB9,""))))</f>
        <v/>
      </c>
      <c r="U9" s="287" t="s">
        <v>570</v>
      </c>
      <c r="V9" s="287" t="s">
        <v>912</v>
      </c>
      <c r="W9" s="287"/>
      <c r="X9" s="287"/>
      <c r="Y9" s="287" t="s">
        <v>915</v>
      </c>
      <c r="Z9" s="287" t="s">
        <v>574</v>
      </c>
      <c r="AA9" s="287" t="s">
        <v>916</v>
      </c>
      <c r="AB9" s="258" t="s">
        <v>917</v>
      </c>
    </row>
    <row r="10" spans="1:28" ht="150" x14ac:dyDescent="0.25">
      <c r="A10" s="41" t="str">
        <f t="shared" si="0"/>
        <v>B07</v>
      </c>
      <c r="B10" s="38" t="str">
        <f t="shared" si="0"/>
        <v>OTE</v>
      </c>
      <c r="C10" s="38" t="str">
        <f t="shared" si="1"/>
        <v>Άμεση</v>
      </c>
      <c r="D10" s="223">
        <f>IF(S10="",IF(ΓΕΝΙΚΑ!$B$22="ΝΑΙ",14676,""),"")</f>
        <v>14676</v>
      </c>
      <c r="E10" s="227" t="str">
        <f>IF(ΓΕΝΙΚΑ!$B$22="ΝΑΙ","Π. ΘΕΣΣΑΛΙΑΣ","")</f>
        <v>Π. ΘΕΣΣΑΛΙΑΣ</v>
      </c>
      <c r="F10" s="7" t="s">
        <v>408</v>
      </c>
      <c r="G10" s="7">
        <v>50</v>
      </c>
      <c r="H10" s="136">
        <v>43</v>
      </c>
      <c r="I10" s="255">
        <f t="shared" si="2"/>
        <v>43</v>
      </c>
      <c r="J10" s="136"/>
      <c r="K10" s="255" t="str">
        <f t="shared" si="3"/>
        <v/>
      </c>
      <c r="L10" s="57">
        <f t="shared" si="4"/>
        <v>43</v>
      </c>
      <c r="M10" s="153">
        <v>14</v>
      </c>
      <c r="N10" s="311">
        <f t="shared" si="5"/>
        <v>14</v>
      </c>
      <c r="O10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0" s="272" t="str">
        <f t="shared" si="6"/>
        <v>Μισή εργάσιμη μέρα</v>
      </c>
      <c r="Q10" s="273">
        <f t="shared" si="6"/>
        <v>0</v>
      </c>
      <c r="S10" s="125" t="str">
        <f t="shared" si="7"/>
        <v/>
      </c>
      <c r="T10" s="197" t="str">
        <f>IF(ΠΕΡΙΦΕΡΕΙΑ!B8="Καθόλου",IF(OR(H10&lt;&gt;"",J10&lt;&gt;"",M10&lt;&gt;""),"Η περιφέρεια δεν καλύπτεται",""),CONCATENATE(IF(NOT(ISNUMBER(H10)),U10,IF(H10&gt;H24,W10,"")),IF(J10&gt;J24,X10,""),IF(NOT(ISNUMBER(M10)),AA10,IF(M10&gt;M24,AB10,""))))</f>
        <v/>
      </c>
      <c r="U10" s="287" t="s">
        <v>570</v>
      </c>
      <c r="V10" s="287" t="s">
        <v>912</v>
      </c>
      <c r="W10" s="287"/>
      <c r="X10" s="287"/>
      <c r="Y10" s="287" t="s">
        <v>915</v>
      </c>
      <c r="Z10" s="287" t="s">
        <v>574</v>
      </c>
      <c r="AA10" s="287" t="s">
        <v>916</v>
      </c>
      <c r="AB10" s="258" t="s">
        <v>917</v>
      </c>
    </row>
    <row r="11" spans="1:28" ht="150" x14ac:dyDescent="0.25">
      <c r="A11" s="41" t="str">
        <f t="shared" si="0"/>
        <v>B07</v>
      </c>
      <c r="B11" s="38" t="str">
        <f t="shared" si="0"/>
        <v>OTE</v>
      </c>
      <c r="C11" s="38" t="str">
        <f t="shared" si="1"/>
        <v>Άμεση</v>
      </c>
      <c r="D11" s="237">
        <f>IF(S11="",IF(ΓΕΝΙΚΑ!$B$22="ΝΑΙ",14678,""),"")</f>
        <v>14678</v>
      </c>
      <c r="E11" s="228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6">
        <v>50</v>
      </c>
      <c r="I11" s="255">
        <f t="shared" si="2"/>
        <v>50</v>
      </c>
      <c r="J11" s="136"/>
      <c r="K11" s="255" t="str">
        <f t="shared" si="3"/>
        <v/>
      </c>
      <c r="L11" s="57">
        <f t="shared" si="4"/>
        <v>50</v>
      </c>
      <c r="M11" s="153">
        <v>10</v>
      </c>
      <c r="N11" s="311">
        <f t="shared" si="5"/>
        <v>10</v>
      </c>
      <c r="O11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1" s="272" t="str">
        <f t="shared" si="6"/>
        <v>Μισή εργάσιμη μέρα</v>
      </c>
      <c r="Q11" s="273">
        <f t="shared" si="6"/>
        <v>0</v>
      </c>
      <c r="S11" s="125" t="str">
        <f t="shared" si="7"/>
        <v/>
      </c>
      <c r="T11" s="197" t="str">
        <f>IF(ΠΕΡΙΦΕΡΕΙΑ!B9="Καθόλου",IF(OR(H11&lt;&gt;"",J11&lt;&gt;"",M11&lt;&gt;""),"Η περιφέρεια δεν καλύπτεται",""),CONCATENATE(IF(NOT(ISNUMBER(H11)),U11,IF(H11&gt;H25,W11,"")),IF(J11&gt;J25,X11,""),IF(NOT(ISNUMBER(M11)),AA11,IF(M11&gt;M25,AB11,""))))</f>
        <v/>
      </c>
      <c r="U11" s="287" t="s">
        <v>570</v>
      </c>
      <c r="V11" s="287" t="s">
        <v>912</v>
      </c>
      <c r="W11" s="287"/>
      <c r="X11" s="287"/>
      <c r="Y11" s="287" t="s">
        <v>915</v>
      </c>
      <c r="Z11" s="287" t="s">
        <v>574</v>
      </c>
      <c r="AA11" s="287" t="s">
        <v>916</v>
      </c>
      <c r="AB11" s="258" t="s">
        <v>917</v>
      </c>
    </row>
    <row r="12" spans="1:28" ht="150" x14ac:dyDescent="0.25">
      <c r="A12" s="41" t="str">
        <f t="shared" si="0"/>
        <v>B07</v>
      </c>
      <c r="B12" s="38" t="str">
        <f t="shared" si="0"/>
        <v>OTE</v>
      </c>
      <c r="C12" s="38" t="str">
        <f t="shared" si="1"/>
        <v>Άμεση</v>
      </c>
      <c r="D12" s="223">
        <f>IF(S12="",IF(ΓΕΝΙΚΑ!$B$22="ΝΑΙ",14680,""),"")</f>
        <v>14680</v>
      </c>
      <c r="E12" s="227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6">
        <v>38</v>
      </c>
      <c r="I12" s="255">
        <f t="shared" si="2"/>
        <v>38</v>
      </c>
      <c r="J12" s="136"/>
      <c r="K12" s="255" t="str">
        <f t="shared" si="3"/>
        <v/>
      </c>
      <c r="L12" s="57">
        <f t="shared" si="4"/>
        <v>38</v>
      </c>
      <c r="M12" s="153">
        <v>6</v>
      </c>
      <c r="N12" s="311">
        <f t="shared" si="5"/>
        <v>6</v>
      </c>
      <c r="O12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2" s="272" t="str">
        <f t="shared" si="6"/>
        <v>Μισή εργάσιμη μέρα</v>
      </c>
      <c r="Q12" s="273">
        <f t="shared" si="6"/>
        <v>0</v>
      </c>
      <c r="S12" s="125" t="str">
        <f t="shared" si="7"/>
        <v/>
      </c>
      <c r="T12" s="197" t="str">
        <f>IF(ΠΕΡΙΦΕΡΕΙΑ!B10="Καθόλου",IF(OR(H12&lt;&gt;"",J12&lt;&gt;"",M12&lt;&gt;""),"Η περιφέρεια δεν καλύπτεται",""),CONCATENATE(IF(NOT(ISNUMBER(H12)),U12,IF(H12&gt;H26,W12,"")),IF(J12&gt;J26,X12,""),IF(NOT(ISNUMBER(M12)),AA12,IF(M12&gt;M26,AB12,""))))</f>
        <v/>
      </c>
      <c r="U12" s="287" t="s">
        <v>570</v>
      </c>
      <c r="V12" s="287" t="s">
        <v>912</v>
      </c>
      <c r="W12" s="287"/>
      <c r="X12" s="287"/>
      <c r="Y12" s="287" t="s">
        <v>915</v>
      </c>
      <c r="Z12" s="287" t="s">
        <v>574</v>
      </c>
      <c r="AA12" s="287" t="s">
        <v>916</v>
      </c>
      <c r="AB12" s="258" t="s">
        <v>917</v>
      </c>
    </row>
    <row r="13" spans="1:28" ht="150" x14ac:dyDescent="0.25">
      <c r="A13" s="41" t="str">
        <f t="shared" si="0"/>
        <v>B07</v>
      </c>
      <c r="B13" s="38" t="str">
        <f t="shared" si="0"/>
        <v>OTE</v>
      </c>
      <c r="C13" s="38" t="str">
        <f t="shared" si="1"/>
        <v>Άμεση</v>
      </c>
      <c r="D13" s="237">
        <f>IF(S13="",IF(ΓΕΝΙΚΑ!$B$22="ΝΑΙ",14682,""),"")</f>
        <v>14682</v>
      </c>
      <c r="E13" s="228" t="str">
        <f>IF(ΓΕΝΙΚΑ!$B$22="ΝΑΙ","Π. ΚΡΗΤΗΣ","")</f>
        <v>Π. ΚΡΗΤΗΣ</v>
      </c>
      <c r="F13" s="7" t="s">
        <v>411</v>
      </c>
      <c r="G13" s="7">
        <v>50</v>
      </c>
      <c r="H13" s="136">
        <v>27</v>
      </c>
      <c r="I13" s="255">
        <f t="shared" si="2"/>
        <v>27</v>
      </c>
      <c r="J13" s="136"/>
      <c r="K13" s="255" t="str">
        <f t="shared" si="3"/>
        <v/>
      </c>
      <c r="L13" s="57">
        <f t="shared" si="4"/>
        <v>27</v>
      </c>
      <c r="M13" s="153">
        <v>6</v>
      </c>
      <c r="N13" s="311">
        <f t="shared" si="5"/>
        <v>6</v>
      </c>
      <c r="O13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3" s="272" t="str">
        <f t="shared" si="6"/>
        <v>Μισή εργάσιμη μέρα</v>
      </c>
      <c r="Q13" s="273">
        <f t="shared" si="6"/>
        <v>0</v>
      </c>
      <c r="S13" s="125" t="str">
        <f t="shared" si="7"/>
        <v/>
      </c>
      <c r="T13" s="197" t="str">
        <f>IF(ΠΕΡΙΦΕΡΕΙΑ!B11="Καθόλου",IF(OR(H13&lt;&gt;"",J13&lt;&gt;"",M13&lt;&gt;""),"Η περιφέρεια δεν καλύπτεται",""),CONCATENATE(IF(NOT(ISNUMBER(H13)),U13,IF(H13&gt;H27,W13,"")),IF(J13&gt;J27,X13,""),IF(NOT(ISNUMBER(M13)),AA13,IF(M13&gt;M27,AB13,""))))</f>
        <v/>
      </c>
      <c r="U13" s="287" t="s">
        <v>570</v>
      </c>
      <c r="V13" s="287" t="s">
        <v>912</v>
      </c>
      <c r="W13" s="287"/>
      <c r="X13" s="287"/>
      <c r="Y13" s="287" t="s">
        <v>915</v>
      </c>
      <c r="Z13" s="287" t="s">
        <v>574</v>
      </c>
      <c r="AA13" s="287" t="s">
        <v>916</v>
      </c>
      <c r="AB13" s="258" t="s">
        <v>917</v>
      </c>
    </row>
    <row r="14" spans="1:28" ht="150" x14ac:dyDescent="0.25">
      <c r="A14" s="41" t="str">
        <f t="shared" si="0"/>
        <v>B07</v>
      </c>
      <c r="B14" s="38" t="str">
        <f t="shared" si="0"/>
        <v>OTE</v>
      </c>
      <c r="C14" s="38" t="str">
        <f t="shared" si="1"/>
        <v>Άμεση</v>
      </c>
      <c r="D14" s="223">
        <f>IF(S14="",IF(ΓΕΝΙΚΑ!$B$22="ΝΑΙ",14684,""),"")</f>
        <v>14684</v>
      </c>
      <c r="E14" s="227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6">
        <v>41</v>
      </c>
      <c r="I14" s="255">
        <f t="shared" si="2"/>
        <v>41</v>
      </c>
      <c r="J14" s="136"/>
      <c r="K14" s="255" t="str">
        <f t="shared" si="3"/>
        <v/>
      </c>
      <c r="L14" s="57">
        <f t="shared" si="4"/>
        <v>41</v>
      </c>
      <c r="M14" s="153">
        <v>12</v>
      </c>
      <c r="N14" s="311">
        <f t="shared" si="5"/>
        <v>12</v>
      </c>
      <c r="O14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4" s="272" t="str">
        <f t="shared" si="6"/>
        <v>Μισή εργάσιμη μέρα</v>
      </c>
      <c r="Q14" s="273">
        <f t="shared" si="6"/>
        <v>0</v>
      </c>
      <c r="S14" s="125" t="str">
        <f t="shared" si="7"/>
        <v/>
      </c>
      <c r="T14" s="197" t="str">
        <f>IF(ΠΕΡΙΦΕΡΕΙΑ!B12="Καθόλου",IF(OR(H14&lt;&gt;"",J14&lt;&gt;"",M14&lt;&gt;""),"Η περιφέρεια δεν καλύπτεται",""),CONCATENATE(IF(NOT(ISNUMBER(H14)),U14,IF(H14&gt;H28,W14,"")),IF(J14&gt;J28,X14,""),IF(NOT(ISNUMBER(M14)),AA14,IF(M14&gt;M28,AB14,""))))</f>
        <v/>
      </c>
      <c r="U14" s="287" t="s">
        <v>570</v>
      </c>
      <c r="V14" s="287" t="s">
        <v>912</v>
      </c>
      <c r="W14" s="287"/>
      <c r="X14" s="287"/>
      <c r="Y14" s="287" t="s">
        <v>915</v>
      </c>
      <c r="Z14" s="287" t="s">
        <v>574</v>
      </c>
      <c r="AA14" s="287" t="s">
        <v>916</v>
      </c>
      <c r="AB14" s="258" t="s">
        <v>917</v>
      </c>
    </row>
    <row r="15" spans="1:28" ht="150" x14ac:dyDescent="0.25">
      <c r="A15" s="41" t="str">
        <f t="shared" si="0"/>
        <v>B07</v>
      </c>
      <c r="B15" s="38" t="str">
        <f t="shared" si="0"/>
        <v>OTE</v>
      </c>
      <c r="C15" s="38" t="str">
        <f t="shared" si="1"/>
        <v>Άμεση</v>
      </c>
      <c r="D15" s="237">
        <f>IF(S15="",IF(ΓΕΝΙΚΑ!$B$22="ΝΑΙ",14686,""),"")</f>
        <v>14686</v>
      </c>
      <c r="E15" s="228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6">
        <v>42</v>
      </c>
      <c r="I15" s="255">
        <f t="shared" si="2"/>
        <v>42</v>
      </c>
      <c r="J15" s="136"/>
      <c r="K15" s="255" t="str">
        <f t="shared" si="3"/>
        <v/>
      </c>
      <c r="L15" s="57">
        <f t="shared" si="4"/>
        <v>42</v>
      </c>
      <c r="M15" s="153">
        <v>10</v>
      </c>
      <c r="N15" s="311">
        <f t="shared" si="5"/>
        <v>10</v>
      </c>
      <c r="O15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5" s="272" t="str">
        <f t="shared" si="6"/>
        <v>Μισή εργάσιμη μέρα</v>
      </c>
      <c r="Q15" s="273">
        <f t="shared" si="6"/>
        <v>0</v>
      </c>
      <c r="S15" s="125" t="str">
        <f t="shared" si="7"/>
        <v/>
      </c>
      <c r="T15" s="197" t="str">
        <f>IF(ΠΕΡΙΦΕΡΕΙΑ!B13="Καθόλου",IF(OR(H15&lt;&gt;"",J15&lt;&gt;"",M15&lt;&gt;""),"Η περιφέρεια δεν καλύπτεται",""),CONCATENATE(IF(NOT(ISNUMBER(H15)),U15,IF(H15&gt;H29,W15,"")),IF(J15&gt;J29,X15,""),IF(NOT(ISNUMBER(M15)),AA15,IF(M15&gt;M29,AB15,""))))</f>
        <v/>
      </c>
      <c r="U15" s="287" t="s">
        <v>570</v>
      </c>
      <c r="V15" s="287" t="s">
        <v>912</v>
      </c>
      <c r="W15" s="287"/>
      <c r="X15" s="287"/>
      <c r="Y15" s="287" t="s">
        <v>915</v>
      </c>
      <c r="Z15" s="287" t="s">
        <v>574</v>
      </c>
      <c r="AA15" s="287" t="s">
        <v>916</v>
      </c>
      <c r="AB15" s="258" t="s">
        <v>917</v>
      </c>
    </row>
    <row r="16" spans="1:28" ht="150.75" thickBot="1" x14ac:dyDescent="0.3">
      <c r="A16" s="41" t="str">
        <f t="shared" si="0"/>
        <v>B07</v>
      </c>
      <c r="B16" s="38" t="str">
        <f t="shared" si="0"/>
        <v>OTE</v>
      </c>
      <c r="C16" s="38" t="str">
        <f t="shared" si="1"/>
        <v>Άμεση</v>
      </c>
      <c r="D16" s="224">
        <f>IF(S16="",IF(ΓΕΝΙΚΑ!$B$22="ΝΑΙ",14688,""),"")</f>
        <v>14688</v>
      </c>
      <c r="E16" s="229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7">
        <v>31</v>
      </c>
      <c r="I16" s="255">
        <f t="shared" si="2"/>
        <v>31</v>
      </c>
      <c r="J16" s="137"/>
      <c r="K16" s="255" t="str">
        <f t="shared" si="3"/>
        <v/>
      </c>
      <c r="L16" s="58">
        <f t="shared" si="4"/>
        <v>31</v>
      </c>
      <c r="M16" s="154">
        <v>8</v>
      </c>
      <c r="N16" s="311">
        <f t="shared" si="5"/>
        <v>8</v>
      </c>
      <c r="O16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6" s="272" t="str">
        <f t="shared" si="6"/>
        <v>Μισή εργάσιμη μέρα</v>
      </c>
      <c r="Q16" s="273">
        <f t="shared" si="6"/>
        <v>0</v>
      </c>
      <c r="S16" s="125" t="str">
        <f t="shared" si="7"/>
        <v/>
      </c>
      <c r="T16" s="197" t="str">
        <f>IF(ΠΕΡΙΦΕΡΕΙΑ!B14="Καθόλου",IF(OR(H16&lt;&gt;"",J16&lt;&gt;"",M16&lt;&gt;""),"Η περιφέρεια δεν καλύπτεται",""),CONCATENATE(IF(NOT(ISNUMBER(H16)),U16,IF(H16&gt;H30,W16,"")),IF(J16&gt;J30,X16,""),IF(NOT(ISNUMBER(M16)),AA16,IF(M16&gt;M30,AB16,""))))</f>
        <v/>
      </c>
      <c r="U16" s="287" t="s">
        <v>570</v>
      </c>
      <c r="V16" s="287" t="s">
        <v>912</v>
      </c>
      <c r="W16" s="287"/>
      <c r="X16" s="287"/>
      <c r="Y16" s="287" t="s">
        <v>915</v>
      </c>
      <c r="Z16" s="287" t="s">
        <v>574</v>
      </c>
      <c r="AA16" s="287" t="s">
        <v>916</v>
      </c>
      <c r="AB16" s="258" t="s">
        <v>917</v>
      </c>
    </row>
    <row r="17" spans="1:28" ht="150" x14ac:dyDescent="0.25">
      <c r="A17" s="41" t="str">
        <f t="shared" si="0"/>
        <v>B07</v>
      </c>
      <c r="B17" s="38" t="str">
        <f t="shared" si="0"/>
        <v>OTE</v>
      </c>
      <c r="C17" s="38" t="str">
        <f t="shared" si="1"/>
        <v>Άμεση</v>
      </c>
      <c r="D17" s="236">
        <f>IF(S17="",IF(ΓΕΝΙΚΑ!$B$22="ΝΑΙ",15300,""),"")</f>
        <v>15300</v>
      </c>
      <c r="E17" s="226" t="str">
        <f>IF(ΓΕΝΙΚΑ!$B$22="ΝΑΙ","ΠΑΝΕΛΛΑΔΙΚΑ","")</f>
        <v>ΠΑΝΕΛΛΑΔΙΚΑ</v>
      </c>
      <c r="F17" s="8" t="s">
        <v>552</v>
      </c>
      <c r="G17" s="5">
        <v>95</v>
      </c>
      <c r="H17" s="135">
        <v>216</v>
      </c>
      <c r="I17" s="255"/>
      <c r="J17" s="135"/>
      <c r="K17" s="255" t="str">
        <f t="shared" si="3"/>
        <v/>
      </c>
      <c r="L17" s="56">
        <f t="shared" si="4"/>
        <v>216</v>
      </c>
      <c r="M17" s="155">
        <v>73</v>
      </c>
      <c r="N17" s="311">
        <f t="shared" si="5"/>
        <v>73</v>
      </c>
      <c r="O17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7" s="272" t="str">
        <f t="shared" si="6"/>
        <v>Μισή εργάσιμη μέρα</v>
      </c>
      <c r="Q17" s="273">
        <f t="shared" si="6"/>
        <v>0</v>
      </c>
      <c r="S17" s="125" t="str">
        <f t="shared" si="7"/>
        <v/>
      </c>
      <c r="T17" s="197" t="str">
        <f>IF(L17="",U3,"")</f>
        <v/>
      </c>
      <c r="Y17" s="196"/>
      <c r="AA17" s="258"/>
      <c r="AB17" s="258"/>
    </row>
    <row r="18" spans="1:28" ht="150" x14ac:dyDescent="0.25">
      <c r="A18" s="41" t="str">
        <f t="shared" si="0"/>
        <v>B07</v>
      </c>
      <c r="B18" s="38" t="str">
        <f t="shared" si="0"/>
        <v>OTE</v>
      </c>
      <c r="C18" s="38" t="str">
        <f t="shared" si="1"/>
        <v>Άμεση</v>
      </c>
      <c r="D18" s="223">
        <f>IF(S18="",IF(ΓΕΝΙΚΑ!$B$22="ΝΑΙ",14664,""),"")</f>
        <v>14664</v>
      </c>
      <c r="E18" s="227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6">
        <v>158</v>
      </c>
      <c r="I18" s="255">
        <f t="shared" si="2"/>
        <v>158</v>
      </c>
      <c r="J18" s="136"/>
      <c r="K18" s="255" t="str">
        <f t="shared" si="3"/>
        <v/>
      </c>
      <c r="L18" s="57">
        <f t="shared" si="4"/>
        <v>158</v>
      </c>
      <c r="M18" s="153">
        <v>61</v>
      </c>
      <c r="N18" s="311">
        <f t="shared" si="5"/>
        <v>61</v>
      </c>
      <c r="O18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8" s="272" t="str">
        <f t="shared" si="6"/>
        <v>Μισή εργάσιμη μέρα</v>
      </c>
      <c r="Q18" s="273">
        <f t="shared" si="6"/>
        <v>0</v>
      </c>
      <c r="S18" s="125" t="str">
        <f t="shared" si="7"/>
        <v/>
      </c>
      <c r="T18" s="197" t="str">
        <f>IF(AND(L18="",ΠΕΡΙΦΕΡΕΙΑ!B2&lt;&gt;"Καθόλου"),U4,IF(AND(ΠΕΡΙΦΕΡΕΙΑ!B2="Καθόλου",OR(H18&lt;&gt;"",J18&lt;&gt;"")),"Η περιφέρεια δεν καλύπτεται",""))</f>
        <v/>
      </c>
      <c r="Y18" s="196"/>
      <c r="AA18" s="258"/>
      <c r="AB18" s="258"/>
    </row>
    <row r="19" spans="1:28" ht="150" x14ac:dyDescent="0.25">
      <c r="A19" s="41" t="str">
        <f t="shared" si="0"/>
        <v>B07</v>
      </c>
      <c r="B19" s="38" t="str">
        <f t="shared" si="0"/>
        <v>OTE</v>
      </c>
      <c r="C19" s="38" t="str">
        <f t="shared" si="1"/>
        <v>Άμεση</v>
      </c>
      <c r="D19" s="237">
        <f>IF(S19="",IF(ΓΕΝΙΚΑ!$B$22="ΝΑΙ",14666,""),"")</f>
        <v>14666</v>
      </c>
      <c r="E19" s="228" t="str">
        <f>IF(ΓΕΝΙΚΑ!$B$22="ΝΑΙ","Π. ΑΤΤΙΚΗΣ","")</f>
        <v>Π. ΑΤΤΙΚΗΣ</v>
      </c>
      <c r="F19" s="7" t="s">
        <v>40</v>
      </c>
      <c r="G19" s="7">
        <v>95</v>
      </c>
      <c r="H19" s="136">
        <v>215</v>
      </c>
      <c r="I19" s="255">
        <f t="shared" si="2"/>
        <v>215</v>
      </c>
      <c r="J19" s="136"/>
      <c r="K19" s="255" t="str">
        <f t="shared" si="3"/>
        <v/>
      </c>
      <c r="L19" s="57">
        <f t="shared" si="4"/>
        <v>215</v>
      </c>
      <c r="M19" s="153">
        <v>76</v>
      </c>
      <c r="N19" s="311">
        <f t="shared" si="5"/>
        <v>76</v>
      </c>
      <c r="O19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19" s="272" t="str">
        <f t="shared" si="6"/>
        <v>Μισή εργάσιμη μέρα</v>
      </c>
      <c r="Q19" s="273">
        <f t="shared" si="6"/>
        <v>0</v>
      </c>
      <c r="S19" s="125" t="str">
        <f t="shared" si="7"/>
        <v/>
      </c>
      <c r="T19" s="197" t="str">
        <f>IF(AND(L19="",ΠΕΡΙΦΕΡΕΙΑ!B3&lt;&gt;"Καθόλου"),U5,IF(AND(ΠΕΡΙΦΕΡΕΙΑ!B3="Καθόλου",OR(H19&lt;&gt;"",J19&lt;&gt;"")),"Η περιφέρεια δεν καλύπτεται",""))</f>
        <v/>
      </c>
      <c r="Y19" s="196"/>
      <c r="AA19" s="258"/>
      <c r="AB19" s="258"/>
    </row>
    <row r="20" spans="1:28" ht="150" x14ac:dyDescent="0.25">
      <c r="A20" s="41" t="str">
        <f t="shared" si="0"/>
        <v>B07</v>
      </c>
      <c r="B20" s="38" t="str">
        <f t="shared" si="0"/>
        <v>OTE</v>
      </c>
      <c r="C20" s="38" t="str">
        <f t="shared" si="1"/>
        <v>Άμεση</v>
      </c>
      <c r="D20" s="223">
        <f>IF(S20="",IF(ΓΕΝΙΚΑ!$B$22="ΝΑΙ",14668,""),"")</f>
        <v>14668</v>
      </c>
      <c r="E20" s="227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6">
        <v>261</v>
      </c>
      <c r="I20" s="255">
        <f t="shared" si="2"/>
        <v>261</v>
      </c>
      <c r="J20" s="136"/>
      <c r="K20" s="255" t="str">
        <f t="shared" si="3"/>
        <v/>
      </c>
      <c r="L20" s="57">
        <f t="shared" si="4"/>
        <v>261</v>
      </c>
      <c r="M20" s="153">
        <v>91</v>
      </c>
      <c r="N20" s="311">
        <f t="shared" si="5"/>
        <v>91</v>
      </c>
      <c r="O20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0" s="272" t="str">
        <f t="shared" si="6"/>
        <v>Μισή εργάσιμη μέρα</v>
      </c>
      <c r="Q20" s="273">
        <f t="shared" si="6"/>
        <v>0</v>
      </c>
      <c r="S20" s="125" t="str">
        <f t="shared" si="7"/>
        <v/>
      </c>
      <c r="T20" s="197" t="str">
        <f>IF(AND(L20="",ΠΕΡΙΦΕΡΕΙΑ!B4&lt;&gt;"Καθόλου"),U6,IF(AND(ΠΕΡΙΦΕΡΕΙΑ!B4="Καθόλου",OR(H20&lt;&gt;"",J20&lt;&gt;"")),"Η περιφέρεια δεν καλύπτεται",""))</f>
        <v/>
      </c>
      <c r="Y20" s="196"/>
    </row>
    <row r="21" spans="1:28" ht="150" x14ac:dyDescent="0.25">
      <c r="A21" s="41" t="str">
        <f t="shared" si="0"/>
        <v>B07</v>
      </c>
      <c r="B21" s="38" t="str">
        <f t="shared" si="0"/>
        <v>OTE</v>
      </c>
      <c r="C21" s="38" t="str">
        <f t="shared" si="1"/>
        <v>Άμεση</v>
      </c>
      <c r="D21" s="237">
        <f>IF(S21="",IF(ΓΕΝΙΚΑ!$B$22="ΝΑΙ",14670,""),"")</f>
        <v>14670</v>
      </c>
      <c r="E21" s="228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6">
        <v>263</v>
      </c>
      <c r="I21" s="255">
        <f t="shared" si="2"/>
        <v>263</v>
      </c>
      <c r="J21" s="136"/>
      <c r="K21" s="255" t="str">
        <f t="shared" si="3"/>
        <v/>
      </c>
      <c r="L21" s="57">
        <f t="shared" si="4"/>
        <v>263</v>
      </c>
      <c r="M21" s="153">
        <v>83</v>
      </c>
      <c r="N21" s="311">
        <f t="shared" si="5"/>
        <v>83</v>
      </c>
      <c r="O21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1" s="272" t="str">
        <f t="shared" si="6"/>
        <v>Μισή εργάσιμη μέρα</v>
      </c>
      <c r="Q21" s="273">
        <f t="shared" si="6"/>
        <v>0</v>
      </c>
      <c r="S21" s="125" t="str">
        <f t="shared" si="7"/>
        <v/>
      </c>
      <c r="T21" s="197" t="str">
        <f>IF(AND(L21="",ΠΕΡΙΦΕΡΕΙΑ!B5&lt;&gt;"Καθόλου"),U7,IF(AND(ΠΕΡΙΦΕΡΕΙΑ!B5="Καθόλου",OR(H21&lt;&gt;"",J21&lt;&gt;"")),"Η περιφέρεια δεν καλύπτεται",""))</f>
        <v/>
      </c>
      <c r="Y21" s="196"/>
    </row>
    <row r="22" spans="1:28" ht="150" x14ac:dyDescent="0.25">
      <c r="A22" s="41" t="str">
        <f t="shared" si="0"/>
        <v>B07</v>
      </c>
      <c r="B22" s="38" t="str">
        <f t="shared" si="0"/>
        <v>OTE</v>
      </c>
      <c r="C22" s="38" t="str">
        <f t="shared" si="1"/>
        <v>Άμεση</v>
      </c>
      <c r="D22" s="223">
        <f>IF(S22="",IF(ΓΕΝΙΚΑ!$B$22="ΝΑΙ",14672,""),"")</f>
        <v>14672</v>
      </c>
      <c r="E22" s="227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6">
        <v>165</v>
      </c>
      <c r="I22" s="255">
        <f t="shared" si="2"/>
        <v>165</v>
      </c>
      <c r="J22" s="136"/>
      <c r="K22" s="255" t="str">
        <f t="shared" si="3"/>
        <v/>
      </c>
      <c r="L22" s="57">
        <f t="shared" si="4"/>
        <v>165</v>
      </c>
      <c r="M22" s="153">
        <v>49</v>
      </c>
      <c r="N22" s="311">
        <f t="shared" si="5"/>
        <v>49</v>
      </c>
      <c r="O22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2" s="272" t="str">
        <f t="shared" si="6"/>
        <v>Μισή εργάσιμη μέρα</v>
      </c>
      <c r="Q22" s="273">
        <f t="shared" si="6"/>
        <v>0</v>
      </c>
      <c r="S22" s="125" t="str">
        <f t="shared" si="7"/>
        <v/>
      </c>
      <c r="T22" s="197" t="str">
        <f>IF(AND(L22="",ΠΕΡΙΦΕΡΕΙΑ!B6&lt;&gt;"Καθόλου"),U8,IF(AND(ΠΕΡΙΦΕΡΕΙΑ!B6="Καθόλου",OR(H22&lt;&gt;"",J22&lt;&gt;"")),"Η περιφέρεια δεν καλύπτεται",""))</f>
        <v/>
      </c>
      <c r="Y22" s="196"/>
    </row>
    <row r="23" spans="1:28" ht="150" x14ac:dyDescent="0.25">
      <c r="A23" s="41" t="str">
        <f t="shared" si="0"/>
        <v>B07</v>
      </c>
      <c r="B23" s="38" t="str">
        <f t="shared" si="0"/>
        <v>OTE</v>
      </c>
      <c r="C23" s="38" t="str">
        <f t="shared" si="1"/>
        <v>Άμεση</v>
      </c>
      <c r="D23" s="237">
        <f>IF(S23="",IF(ΓΕΝΙΚΑ!$B$22="ΝΑΙ",14674,""),"")</f>
        <v>14674</v>
      </c>
      <c r="E23" s="228" t="str">
        <f>IF(ΓΕΝΙΚΑ!$B$22="ΝΑΙ","Π. ΗΠΕΙΡΟΥ","")</f>
        <v>Π. ΗΠΕΙΡΟΥ</v>
      </c>
      <c r="F23" s="7" t="s">
        <v>407</v>
      </c>
      <c r="G23" s="7">
        <v>95</v>
      </c>
      <c r="H23" s="136">
        <v>283</v>
      </c>
      <c r="I23" s="255">
        <f t="shared" si="2"/>
        <v>283</v>
      </c>
      <c r="J23" s="136"/>
      <c r="K23" s="255" t="str">
        <f t="shared" si="3"/>
        <v/>
      </c>
      <c r="L23" s="57">
        <f t="shared" si="4"/>
        <v>283</v>
      </c>
      <c r="M23" s="153">
        <v>68</v>
      </c>
      <c r="N23" s="311">
        <f t="shared" si="5"/>
        <v>68</v>
      </c>
      <c r="O23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3" s="272" t="str">
        <f t="shared" si="6"/>
        <v>Μισή εργάσιμη μέρα</v>
      </c>
      <c r="Q23" s="273">
        <f t="shared" si="6"/>
        <v>0</v>
      </c>
      <c r="S23" s="125" t="str">
        <f t="shared" si="7"/>
        <v/>
      </c>
      <c r="T23" s="197" t="str">
        <f>IF(AND(L23="",ΠΕΡΙΦΕΡΕΙΑ!B7&lt;&gt;"Καθόλου"),U9,IF(AND(ΠΕΡΙΦΕΡΕΙΑ!B7="Καθόλου",OR(H23&lt;&gt;"",J23&lt;&gt;"")),"Η περιφέρεια δεν καλύπτεται",""))</f>
        <v/>
      </c>
      <c r="Y23" s="196"/>
    </row>
    <row r="24" spans="1:28" ht="150" x14ac:dyDescent="0.25">
      <c r="A24" s="41" t="str">
        <f t="shared" si="0"/>
        <v>B07</v>
      </c>
      <c r="B24" s="38" t="str">
        <f t="shared" si="0"/>
        <v>OTE</v>
      </c>
      <c r="C24" s="38" t="str">
        <f t="shared" si="1"/>
        <v>Άμεση</v>
      </c>
      <c r="D24" s="223">
        <f>IF(S24="",IF(ΓΕΝΙΚΑ!$B$22="ΝΑΙ",14676,""),"")</f>
        <v>14676</v>
      </c>
      <c r="E24" s="227" t="str">
        <f>IF(ΓΕΝΙΚΑ!$B$22="ΝΑΙ","Π. ΘΕΣΣΑΛΙΑΣ","")</f>
        <v>Π. ΘΕΣΣΑΛΙΑΣ</v>
      </c>
      <c r="F24" s="7" t="s">
        <v>408</v>
      </c>
      <c r="G24" s="7">
        <v>95</v>
      </c>
      <c r="H24" s="136">
        <v>236</v>
      </c>
      <c r="I24" s="255">
        <f t="shared" si="2"/>
        <v>236</v>
      </c>
      <c r="J24" s="136"/>
      <c r="K24" s="255" t="str">
        <f t="shared" si="3"/>
        <v/>
      </c>
      <c r="L24" s="57">
        <f t="shared" si="4"/>
        <v>236</v>
      </c>
      <c r="M24" s="153">
        <v>96</v>
      </c>
      <c r="N24" s="311">
        <f t="shared" si="5"/>
        <v>96</v>
      </c>
      <c r="O24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4" s="272" t="str">
        <f t="shared" si="6"/>
        <v>Μισή εργάσιμη μέρα</v>
      </c>
      <c r="Q24" s="273">
        <f t="shared" si="6"/>
        <v>0</v>
      </c>
      <c r="S24" s="125" t="str">
        <f t="shared" si="7"/>
        <v/>
      </c>
      <c r="T24" s="197" t="str">
        <f>IF(AND(L24="",ΠΕΡΙΦΕΡΕΙΑ!B8&lt;&gt;"Καθόλου"),U10,IF(AND(ΠΕΡΙΦΕΡΕΙΑ!B8="Καθόλου",OR(H24&lt;&gt;"",J24&lt;&gt;"")),"Η περιφέρεια δεν καλύπτεται",""))</f>
        <v/>
      </c>
      <c r="Y24" s="196"/>
    </row>
    <row r="25" spans="1:28" ht="150" x14ac:dyDescent="0.25">
      <c r="A25" s="41" t="str">
        <f t="shared" si="0"/>
        <v>B07</v>
      </c>
      <c r="B25" s="38" t="str">
        <f t="shared" si="0"/>
        <v>OTE</v>
      </c>
      <c r="C25" s="38" t="str">
        <f t="shared" si="1"/>
        <v>Άμεση</v>
      </c>
      <c r="D25" s="237">
        <f>IF(S25="",IF(ΓΕΝΙΚΑ!$B$22="ΝΑΙ",14678,""),"")</f>
        <v>14678</v>
      </c>
      <c r="E25" s="228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6">
        <v>283</v>
      </c>
      <c r="I25" s="255">
        <f t="shared" si="2"/>
        <v>283</v>
      </c>
      <c r="J25" s="136"/>
      <c r="K25" s="255" t="str">
        <f t="shared" si="3"/>
        <v/>
      </c>
      <c r="L25" s="57">
        <f t="shared" si="4"/>
        <v>283</v>
      </c>
      <c r="M25" s="153">
        <v>107</v>
      </c>
      <c r="N25" s="311">
        <f t="shared" si="5"/>
        <v>107</v>
      </c>
      <c r="O25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5" s="272" t="str">
        <f t="shared" si="6"/>
        <v>Μισή εργάσιμη μέρα</v>
      </c>
      <c r="Q25" s="273">
        <f t="shared" si="6"/>
        <v>0</v>
      </c>
      <c r="S25" s="125" t="str">
        <f t="shared" si="7"/>
        <v/>
      </c>
      <c r="T25" s="197" t="str">
        <f>IF(AND(L25="",ΠΕΡΙΦΕΡΕΙΑ!B9&lt;&gt;"Καθόλου"),U11,IF(AND(ΠΕΡΙΦΕΡΕΙΑ!B9="Καθόλου",OR(H25&lt;&gt;"",J25&lt;&gt;"")),"Η περιφέρεια δεν καλύπτεται",""))</f>
        <v/>
      </c>
      <c r="Y25" s="196"/>
    </row>
    <row r="26" spans="1:28" ht="150" x14ac:dyDescent="0.25">
      <c r="A26" s="41" t="str">
        <f t="shared" si="0"/>
        <v>B07</v>
      </c>
      <c r="B26" s="38" t="str">
        <f t="shared" si="0"/>
        <v>OTE</v>
      </c>
      <c r="C26" s="38" t="str">
        <f t="shared" si="1"/>
        <v>Άμεση</v>
      </c>
      <c r="D26" s="223">
        <f>IF(S26="",IF(ΓΕΝΙΚΑ!$B$22="ΝΑΙ",14680,""),"")</f>
        <v>14680</v>
      </c>
      <c r="E26" s="227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6">
        <v>172</v>
      </c>
      <c r="I26" s="255">
        <f t="shared" si="2"/>
        <v>172</v>
      </c>
      <c r="J26" s="136"/>
      <c r="K26" s="255" t="str">
        <f t="shared" si="3"/>
        <v/>
      </c>
      <c r="L26" s="57">
        <f t="shared" si="4"/>
        <v>172</v>
      </c>
      <c r="M26" s="153">
        <v>67</v>
      </c>
      <c r="N26" s="311">
        <f t="shared" si="5"/>
        <v>67</v>
      </c>
      <c r="O26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6" s="272" t="str">
        <f t="shared" si="6"/>
        <v>Μισή εργάσιμη μέρα</v>
      </c>
      <c r="Q26" s="273">
        <f t="shared" si="6"/>
        <v>0</v>
      </c>
      <c r="S26" s="125" t="str">
        <f t="shared" si="7"/>
        <v/>
      </c>
      <c r="T26" s="197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6"/>
    </row>
    <row r="27" spans="1:28" ht="150" x14ac:dyDescent="0.25">
      <c r="A27" s="41" t="str">
        <f t="shared" si="0"/>
        <v>B07</v>
      </c>
      <c r="B27" s="38" t="str">
        <f t="shared" si="0"/>
        <v>OTE</v>
      </c>
      <c r="C27" s="38" t="str">
        <f t="shared" si="1"/>
        <v>Άμεση</v>
      </c>
      <c r="D27" s="237">
        <f>IF(S27="",IF(ΓΕΝΙΚΑ!$B$22="ΝΑΙ",14682,""),"")</f>
        <v>14682</v>
      </c>
      <c r="E27" s="228" t="str">
        <f>IF(ΓΕΝΙΚΑ!$B$22="ΝΑΙ","Π. ΚΡΗΤΗΣ","")</f>
        <v>Π. ΚΡΗΤΗΣ</v>
      </c>
      <c r="F27" s="7" t="s">
        <v>411</v>
      </c>
      <c r="G27" s="7">
        <v>95</v>
      </c>
      <c r="H27" s="136">
        <v>126</v>
      </c>
      <c r="I27" s="255">
        <f t="shared" si="2"/>
        <v>126</v>
      </c>
      <c r="J27" s="136"/>
      <c r="K27" s="255" t="str">
        <f t="shared" si="3"/>
        <v/>
      </c>
      <c r="L27" s="57">
        <f t="shared" si="4"/>
        <v>126</v>
      </c>
      <c r="M27" s="153">
        <v>45</v>
      </c>
      <c r="N27" s="311">
        <f t="shared" si="5"/>
        <v>45</v>
      </c>
      <c r="O27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7" s="272" t="str">
        <f t="shared" si="6"/>
        <v>Μισή εργάσιμη μέρα</v>
      </c>
      <c r="Q27" s="273">
        <f t="shared" si="6"/>
        <v>0</v>
      </c>
      <c r="S27" s="125" t="str">
        <f t="shared" si="7"/>
        <v/>
      </c>
      <c r="T27" s="197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6"/>
    </row>
    <row r="28" spans="1:28" ht="150" x14ac:dyDescent="0.25">
      <c r="A28" s="41" t="str">
        <f t="shared" si="0"/>
        <v>B07</v>
      </c>
      <c r="B28" s="38" t="str">
        <f t="shared" si="0"/>
        <v>OTE</v>
      </c>
      <c r="C28" s="38" t="str">
        <f t="shared" si="1"/>
        <v>Άμεση</v>
      </c>
      <c r="D28" s="223">
        <f>IF(S28="",IF(ΓΕΝΙΚΑ!$B$22="ΝΑΙ",14684,""),"")</f>
        <v>14684</v>
      </c>
      <c r="E28" s="227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6">
        <v>364</v>
      </c>
      <c r="I28" s="255">
        <f t="shared" si="2"/>
        <v>364</v>
      </c>
      <c r="J28" s="136"/>
      <c r="K28" s="255" t="str">
        <f t="shared" si="3"/>
        <v/>
      </c>
      <c r="L28" s="57">
        <f t="shared" si="4"/>
        <v>364</v>
      </c>
      <c r="M28" s="153">
        <v>77</v>
      </c>
      <c r="N28" s="311">
        <f t="shared" si="5"/>
        <v>77</v>
      </c>
      <c r="O28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8" s="272" t="str">
        <f t="shared" si="6"/>
        <v>Μισή εργάσιμη μέρα</v>
      </c>
      <c r="Q28" s="273">
        <f t="shared" si="6"/>
        <v>0</v>
      </c>
      <c r="S28" s="125" t="str">
        <f t="shared" si="7"/>
        <v/>
      </c>
      <c r="T28" s="197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6"/>
    </row>
    <row r="29" spans="1:28" ht="150" x14ac:dyDescent="0.25">
      <c r="A29" s="41" t="str">
        <f t="shared" si="0"/>
        <v>B07</v>
      </c>
      <c r="B29" s="38" t="str">
        <f t="shared" si="0"/>
        <v>OTE</v>
      </c>
      <c r="C29" s="38" t="str">
        <f t="shared" si="1"/>
        <v>Άμεση</v>
      </c>
      <c r="D29" s="237">
        <f>IF(S29="",IF(ΓΕΝΙΚΑ!$B$22="ΝΑΙ",14686,""),"")</f>
        <v>14686</v>
      </c>
      <c r="E29" s="228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6">
        <v>242</v>
      </c>
      <c r="I29" s="255">
        <f t="shared" si="2"/>
        <v>242</v>
      </c>
      <c r="J29" s="136"/>
      <c r="K29" s="255" t="str">
        <f t="shared" si="3"/>
        <v/>
      </c>
      <c r="L29" s="57">
        <f t="shared" si="4"/>
        <v>242</v>
      </c>
      <c r="M29" s="153">
        <v>68</v>
      </c>
      <c r="N29" s="311">
        <f t="shared" si="5"/>
        <v>68</v>
      </c>
      <c r="O29" s="272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29" s="272" t="str">
        <f t="shared" si="6"/>
        <v>Μισή εργάσιμη μέρα</v>
      </c>
      <c r="Q29" s="273">
        <f t="shared" si="6"/>
        <v>0</v>
      </c>
      <c r="S29" s="125" t="str">
        <f t="shared" si="7"/>
        <v/>
      </c>
      <c r="T29" s="197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6"/>
    </row>
    <row r="30" spans="1:28" ht="150.75" thickBot="1" x14ac:dyDescent="0.3">
      <c r="A30" s="42" t="str">
        <f t="shared" si="0"/>
        <v>B07</v>
      </c>
      <c r="B30" s="43" t="str">
        <f t="shared" si="0"/>
        <v>OTE</v>
      </c>
      <c r="C30" s="43" t="str">
        <f t="shared" si="1"/>
        <v>Άμεση</v>
      </c>
      <c r="D30" s="224">
        <f>IF(S30="",IF(ΓΕΝΙΚΑ!$B$22="ΝΑΙ",14688,""),"")</f>
        <v>14688</v>
      </c>
      <c r="E30" s="229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7">
        <v>164</v>
      </c>
      <c r="I30" s="255">
        <f t="shared" si="2"/>
        <v>164</v>
      </c>
      <c r="J30" s="137"/>
      <c r="K30" s="255" t="str">
        <f t="shared" si="3"/>
        <v/>
      </c>
      <c r="L30" s="58">
        <f t="shared" si="4"/>
        <v>164</v>
      </c>
      <c r="M30" s="154">
        <v>68</v>
      </c>
      <c r="N30" s="311">
        <f t="shared" si="5"/>
        <v>68</v>
      </c>
      <c r="O30" s="274" t="str">
        <f t="shared" si="8"/>
        <v>Μέσω Καταστημάτων : Δευτέρα - Σάββατο : Ωρες λειτουργίας καταστημάτων
Μέσω τηλεφώνου: 13888 
Δευτέρα - Κυριακή &amp; αργίες: 00:00 - 24:00
Δωρεάν για όλη την Ελλάδα από δίκτυο ΟΤΕ.
Η κλήση από κινητό ή σταθερό άλλου δικτύου ορίζεται σύμφωνα με τον ισχύοντα τιμοκατάλογο του εκάστοτε παρόχου</v>
      </c>
      <c r="P30" s="274" t="str">
        <f t="shared" si="6"/>
        <v>Μισή εργάσιμη μέρα</v>
      </c>
      <c r="Q30" s="275">
        <f t="shared" si="6"/>
        <v>0</v>
      </c>
      <c r="S30" s="126" t="str">
        <f t="shared" si="7"/>
        <v/>
      </c>
      <c r="T30" s="197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6"/>
    </row>
  </sheetData>
  <sheetProtection algorithmName="SHA-512" hashValue="SC2zU33JXLqg0XbAm3WwjytjPwN1yJICZL+UTkYT54tVXn18zmfnnnHFFnVGhXZcZNzBaNL0qmbkK3Kplsw90Q==" saltValue="T64h/30E14K5KQUnevSEnQ==" spinCount="100000" sheet="1" objects="1" scenarios="1" formatColumns="0" formatRows="0" selectLockedCell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  <dataValidation type="list" allowBlank="1" showInputMessage="1" showErrorMessage="1" sqref="F3:F16 F18:F30">
      <formula1>Perifereies.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7"/>
  <sheetViews>
    <sheetView topLeftCell="A2" workbookViewId="0">
      <selection activeCell="L4" sqref="L4"/>
    </sheetView>
  </sheetViews>
  <sheetFormatPr defaultColWidth="0" defaultRowHeight="15" zeroHeight="1" x14ac:dyDescent="0.25"/>
  <cols>
    <col min="1" max="1" width="50" style="173" customWidth="1"/>
    <col min="2" max="2" width="23" style="173" hidden="1" customWidth="1"/>
    <col min="3" max="4" width="23" style="258" hidden="1" customWidth="1"/>
    <col min="5" max="5" width="23" style="173" hidden="1" customWidth="1"/>
    <col min="6" max="6" width="23" style="173" customWidth="1"/>
    <col min="7" max="7" width="35.85546875" style="173" customWidth="1"/>
    <col min="8" max="9" width="28.28515625" style="173" customWidth="1"/>
    <col min="10" max="10" width="69.42578125" style="173" customWidth="1"/>
    <col min="11" max="11" width="56" style="173" customWidth="1"/>
    <col min="12" max="12" width="35.28515625" style="173" customWidth="1"/>
    <col min="13" max="14" width="28.28515625" style="173" customWidth="1"/>
    <col min="15" max="15" width="37.28515625" style="173" customWidth="1"/>
    <col min="16" max="16" width="63.140625" style="173" customWidth="1"/>
    <col min="17" max="17" width="9.140625" style="173" customWidth="1"/>
    <col min="18" max="18" width="16.140625" style="173" customWidth="1"/>
    <col min="19" max="19" width="72.7109375" style="173" customWidth="1"/>
    <col min="20" max="20" width="14.140625" style="173" hidden="1" customWidth="1"/>
    <col min="21" max="16384" width="9.140625" style="173" hidden="1"/>
  </cols>
  <sheetData>
    <row r="1" spans="1:25" ht="15.75" hidden="1" thickBot="1" x14ac:dyDescent="0.3">
      <c r="A1" t="s">
        <v>502</v>
      </c>
      <c r="B1" t="s">
        <v>501</v>
      </c>
      <c r="C1" s="231" t="s">
        <v>900</v>
      </c>
      <c r="D1" s="231" t="s">
        <v>901</v>
      </c>
      <c r="E1" t="s">
        <v>506</v>
      </c>
      <c r="F1" s="2" t="s">
        <v>503</v>
      </c>
      <c r="G1" t="s">
        <v>536</v>
      </c>
      <c r="H1" t="s">
        <v>537</v>
      </c>
      <c r="I1" t="s">
        <v>538</v>
      </c>
      <c r="J1" t="s">
        <v>539</v>
      </c>
      <c r="K1" t="s">
        <v>540</v>
      </c>
      <c r="L1" t="s">
        <v>541</v>
      </c>
      <c r="M1" t="s">
        <v>542</v>
      </c>
      <c r="N1" t="s">
        <v>543</v>
      </c>
      <c r="O1" t="s">
        <v>544</v>
      </c>
      <c r="P1" t="s">
        <v>509</v>
      </c>
      <c r="R1" s="24" t="s">
        <v>516</v>
      </c>
      <c r="S1" s="24" t="s">
        <v>516</v>
      </c>
    </row>
    <row r="2" spans="1:25" ht="51" customHeight="1" thickBot="1" x14ac:dyDescent="0.3">
      <c r="A2" s="3" t="s">
        <v>422</v>
      </c>
      <c r="B2" s="4" t="s">
        <v>28</v>
      </c>
      <c r="C2" s="232"/>
      <c r="D2" s="232"/>
      <c r="E2" s="4" t="s">
        <v>545</v>
      </c>
      <c r="F2" s="4" t="s">
        <v>433</v>
      </c>
      <c r="G2" s="4" t="s">
        <v>566</v>
      </c>
      <c r="H2" s="4" t="s">
        <v>471</v>
      </c>
      <c r="I2" s="4" t="s">
        <v>472</v>
      </c>
      <c r="J2" s="4" t="s">
        <v>473</v>
      </c>
      <c r="K2" s="4" t="s">
        <v>474</v>
      </c>
      <c r="L2" s="188" t="s">
        <v>475</v>
      </c>
      <c r="M2" s="188" t="s">
        <v>476</v>
      </c>
      <c r="N2" s="188" t="s">
        <v>477</v>
      </c>
      <c r="O2" s="4" t="s">
        <v>482</v>
      </c>
      <c r="P2" s="22" t="s">
        <v>421</v>
      </c>
      <c r="R2" s="124" t="s">
        <v>452</v>
      </c>
      <c r="S2" s="107" t="s">
        <v>550</v>
      </c>
    </row>
    <row r="3" spans="1:25" ht="75" customHeight="1" thickTop="1" x14ac:dyDescent="0.25">
      <c r="A3" s="17" t="s">
        <v>478</v>
      </c>
      <c r="B3" s="261" t="str">
        <f>ΓΕΝΙΚΑ!C4</f>
        <v>OTE</v>
      </c>
      <c r="C3" s="230">
        <f>IF(R3="",IF(ΓΕΝΙΚΑ!$B$23="ΝΑΙ",15300,""),"")</f>
        <v>15300</v>
      </c>
      <c r="D3" s="230" t="str">
        <f>IF(ΓΕΝΙΚΑ!$B$23="ΝΑΙ","ΠΑΝΕΛΛΑΔΙΚΑ","")</f>
        <v>ΠΑΝΕΛΛΑΔΙΚΑ</v>
      </c>
      <c r="E3" s="18" t="s">
        <v>552</v>
      </c>
      <c r="F3" s="158" t="s">
        <v>434</v>
      </c>
      <c r="G3" s="159" t="s">
        <v>956</v>
      </c>
      <c r="H3" s="160" t="s">
        <v>956</v>
      </c>
      <c r="I3" s="160" t="s">
        <v>956</v>
      </c>
      <c r="J3" s="160" t="s">
        <v>956</v>
      </c>
      <c r="K3" s="160" t="s">
        <v>956</v>
      </c>
      <c r="L3" s="160" t="s">
        <v>956</v>
      </c>
      <c r="M3" s="160" t="s">
        <v>956</v>
      </c>
      <c r="N3" s="163" t="s">
        <v>956</v>
      </c>
      <c r="O3" s="163" t="s">
        <v>956</v>
      </c>
      <c r="P3" s="276" t="s">
        <v>957</v>
      </c>
      <c r="R3" s="125" t="str">
        <f>IF(S3="","","ΣΦΑΛΜΑ")</f>
        <v/>
      </c>
      <c r="S3" s="156" t="str">
        <f>CONCATENATE(IF(F3="","Πρέπει να συμπληρωθεί υποχρεωτικά ο τύπος υπηρεσίας",""),IF(AND(FALSE,Y3&lt;&gt;0),"Σφάλμα ημερομηνίας",""),)</f>
        <v/>
      </c>
      <c r="T3" s="173" t="str">
        <f>TEXT(G3,"ηη/ΜΜ/εεεε")</f>
        <v>_</v>
      </c>
      <c r="U3" s="173" t="e">
        <f>VALUE(LEFT(T3,2))</f>
        <v>#VALUE!</v>
      </c>
      <c r="V3" s="173" t="e">
        <f>VALUE(MID(T3,4,2))</f>
        <v>#VALUE!</v>
      </c>
      <c r="W3" s="173" t="e">
        <f>VALUE(RIGHT(T3,4))</f>
        <v>#VALUE!</v>
      </c>
      <c r="X3" s="173" t="e">
        <f>IF(LEN((T3)=10),0,1)+IF(AND(U3&gt;0,U3&lt;32),0,1)+IF(AND(V3&gt;0,V3&lt;13),0,1)+IF(AND(W3&gt;2000,W3&lt;2030),0,1)</f>
        <v>#VALUE!</v>
      </c>
      <c r="Y3" s="173">
        <f>IF(ISERR(X3),1,X3)</f>
        <v>1</v>
      </c>
    </row>
    <row r="4" spans="1:25" ht="75" customHeight="1" x14ac:dyDescent="0.25">
      <c r="A4" s="13" t="str">
        <f>A3</f>
        <v>B08</v>
      </c>
      <c r="B4" s="262" t="str">
        <f>B3</f>
        <v>OTE</v>
      </c>
      <c r="C4" s="230">
        <f>IF(R4="",IF(ΓΕΝΙΚΑ!$B$23="ΝΑΙ",15300,""),"")</f>
        <v>15300</v>
      </c>
      <c r="D4" s="230" t="str">
        <f>IF(ΓΕΝΙΚΑ!$B$23="ΝΑΙ","ΠΑΝΕΛΛΑΔΙΚΑ","")</f>
        <v>ΠΑΝΕΛΛΑΔΙΚΑ</v>
      </c>
      <c r="E4" s="18" t="s">
        <v>552</v>
      </c>
      <c r="F4" s="53" t="str">
        <f>F3</f>
        <v>Άμεση</v>
      </c>
      <c r="G4" s="54" t="str">
        <f>G3</f>
        <v>_</v>
      </c>
      <c r="H4" s="161"/>
      <c r="I4" s="161"/>
      <c r="J4" s="161"/>
      <c r="K4" s="161"/>
      <c r="L4" s="161"/>
      <c r="M4" s="161"/>
      <c r="N4" s="164"/>
      <c r="O4" s="166"/>
      <c r="P4" s="277"/>
      <c r="R4" s="125" t="str">
        <f t="shared" ref="R4:R7" si="0">IF(S4="","","ΣΦΑΛΜΑ")</f>
        <v/>
      </c>
      <c r="S4" s="157" t="str">
        <f t="shared" ref="S4:S7" si="1">CONCATENATE(IF(F4="","Πρέπει να συμπληρωθεί υποχρεωτικά ο τύπος υπηρεσίας",""),IF(AND(FALSE,Y4&lt;&gt;0),"Σφάλμα ημερομηνίας",""),)</f>
        <v/>
      </c>
      <c r="T4" s="173" t="str">
        <f t="shared" ref="T4:T7" si="2">TEXT(G4,"ηη/ΜΜ/εεεε")</f>
        <v>_</v>
      </c>
      <c r="U4" s="258" t="e">
        <f t="shared" ref="U4:U7" si="3">VALUE(LEFT(T4,2))</f>
        <v>#VALUE!</v>
      </c>
      <c r="V4" s="258" t="e">
        <f t="shared" ref="V4:V7" si="4">VALUE(MID(T4,4,2))</f>
        <v>#VALUE!</v>
      </c>
      <c r="W4" s="258" t="e">
        <f t="shared" ref="W4:W7" si="5">VALUE(RIGHT(T4,4))</f>
        <v>#VALUE!</v>
      </c>
      <c r="X4" s="173" t="e">
        <f t="shared" ref="X4:X7" si="6">IF(LEN((T4)=10),0,1)+IF(AND(U4&gt;0,U4&lt;32),0,1)+IF(AND(V4&gt;0,V4&lt;13),0,1)+IF(AND(W4&gt;2000,W4&lt;2030),0,1)</f>
        <v>#VALUE!</v>
      </c>
      <c r="Y4" s="173">
        <f t="shared" ref="Y4:Y7" si="7">IF(ISERR(X4),1,X4)</f>
        <v>1</v>
      </c>
    </row>
    <row r="5" spans="1:25" ht="75" customHeight="1" x14ac:dyDescent="0.25">
      <c r="A5" s="13" t="str">
        <f>A3</f>
        <v>B08</v>
      </c>
      <c r="B5" s="262" t="str">
        <f>B3</f>
        <v>OTE</v>
      </c>
      <c r="C5" s="230">
        <f>IF(R5="",IF(ΓΕΝΙΚΑ!$B$23="ΝΑΙ",15300,""),"")</f>
        <v>15300</v>
      </c>
      <c r="D5" s="230" t="str">
        <f>IF(ΓΕΝΙΚΑ!$B$23="ΝΑΙ","ΠΑΝΕΛΛΑΔΙΚΑ","")</f>
        <v>ΠΑΝΕΛΛΑΔΙΚΑ</v>
      </c>
      <c r="E5" s="18" t="s">
        <v>552</v>
      </c>
      <c r="F5" s="53" t="str">
        <f>F3</f>
        <v>Άμεση</v>
      </c>
      <c r="G5" s="54" t="str">
        <f>G3</f>
        <v>_</v>
      </c>
      <c r="H5" s="161"/>
      <c r="I5" s="161"/>
      <c r="J5" s="161"/>
      <c r="K5" s="161"/>
      <c r="L5" s="161"/>
      <c r="M5" s="161"/>
      <c r="N5" s="164"/>
      <c r="O5" s="166"/>
      <c r="P5" s="277"/>
      <c r="R5" s="125" t="str">
        <f t="shared" si="0"/>
        <v/>
      </c>
      <c r="S5" s="157" t="str">
        <f t="shared" si="1"/>
        <v/>
      </c>
      <c r="T5" s="173" t="str">
        <f t="shared" si="2"/>
        <v>_</v>
      </c>
      <c r="U5" s="258" t="e">
        <f t="shared" si="3"/>
        <v>#VALUE!</v>
      </c>
      <c r="V5" s="258" t="e">
        <f t="shared" si="4"/>
        <v>#VALUE!</v>
      </c>
      <c r="W5" s="258" t="e">
        <f t="shared" si="5"/>
        <v>#VALUE!</v>
      </c>
      <c r="X5" s="173" t="e">
        <f t="shared" si="6"/>
        <v>#VALUE!</v>
      </c>
      <c r="Y5" s="173">
        <f t="shared" si="7"/>
        <v>1</v>
      </c>
    </row>
    <row r="6" spans="1:25" ht="75" customHeight="1" x14ac:dyDescent="0.25">
      <c r="A6" s="13" t="str">
        <f>A3</f>
        <v>B08</v>
      </c>
      <c r="B6" s="262" t="str">
        <f>B3</f>
        <v>OTE</v>
      </c>
      <c r="C6" s="230">
        <f>IF(R6="",IF(ΓΕΝΙΚΑ!$B$23="ΝΑΙ",15300,""),"")</f>
        <v>15300</v>
      </c>
      <c r="D6" s="230" t="str">
        <f>IF(ΓΕΝΙΚΑ!$B$23="ΝΑΙ","ΠΑΝΕΛΛΑΔΙΚΑ","")</f>
        <v>ΠΑΝΕΛΛΑΔΙΚΑ</v>
      </c>
      <c r="E6" s="18" t="s">
        <v>552</v>
      </c>
      <c r="F6" s="53" t="str">
        <f>F3</f>
        <v>Άμεση</v>
      </c>
      <c r="G6" s="54" t="str">
        <f>G3</f>
        <v>_</v>
      </c>
      <c r="H6" s="161"/>
      <c r="I6" s="161"/>
      <c r="J6" s="161"/>
      <c r="K6" s="161"/>
      <c r="L6" s="161"/>
      <c r="M6" s="161"/>
      <c r="N6" s="164"/>
      <c r="O6" s="166"/>
      <c r="P6" s="277"/>
      <c r="R6" s="125" t="str">
        <f t="shared" si="0"/>
        <v/>
      </c>
      <c r="S6" s="157" t="str">
        <f t="shared" si="1"/>
        <v/>
      </c>
      <c r="T6" s="173" t="str">
        <f t="shared" si="2"/>
        <v>_</v>
      </c>
      <c r="U6" s="258" t="e">
        <f t="shared" si="3"/>
        <v>#VALUE!</v>
      </c>
      <c r="V6" s="258" t="e">
        <f t="shared" si="4"/>
        <v>#VALUE!</v>
      </c>
      <c r="W6" s="258" t="e">
        <f t="shared" si="5"/>
        <v>#VALUE!</v>
      </c>
      <c r="X6" s="173" t="e">
        <f t="shared" si="6"/>
        <v>#VALUE!</v>
      </c>
      <c r="Y6" s="173">
        <f t="shared" si="7"/>
        <v>1</v>
      </c>
    </row>
    <row r="7" spans="1:25" ht="75" customHeight="1" thickBot="1" x14ac:dyDescent="0.3">
      <c r="A7" s="15" t="str">
        <f>A3</f>
        <v>B08</v>
      </c>
      <c r="B7" s="263" t="str">
        <f>B3</f>
        <v>OTE</v>
      </c>
      <c r="C7" s="230">
        <f>IF(R7="",IF(ΓΕΝΙΚΑ!$B$23="ΝΑΙ",15300,""),"")</f>
        <v>15300</v>
      </c>
      <c r="D7" s="230" t="str">
        <f>IF(ΓΕΝΙΚΑ!$B$23="ΝΑΙ","ΠΑΝΕΛΛΑΔΙΚΑ","")</f>
        <v>ΠΑΝΕΛΛΑΔΙΚΑ</v>
      </c>
      <c r="E7" s="18" t="s">
        <v>552</v>
      </c>
      <c r="F7" s="21" t="str">
        <f>F3</f>
        <v>Άμεση</v>
      </c>
      <c r="G7" s="55" t="str">
        <f>G3</f>
        <v>_</v>
      </c>
      <c r="H7" s="162"/>
      <c r="I7" s="162"/>
      <c r="J7" s="162"/>
      <c r="K7" s="162"/>
      <c r="L7" s="162"/>
      <c r="M7" s="162"/>
      <c r="N7" s="165"/>
      <c r="O7" s="167"/>
      <c r="P7" s="278"/>
      <c r="R7" s="126" t="str">
        <f t="shared" si="0"/>
        <v/>
      </c>
      <c r="S7" s="151" t="str">
        <f t="shared" si="1"/>
        <v/>
      </c>
      <c r="T7" s="173" t="str">
        <f t="shared" si="2"/>
        <v>_</v>
      </c>
      <c r="U7" s="258" t="e">
        <f t="shared" si="3"/>
        <v>#VALUE!</v>
      </c>
      <c r="V7" s="258" t="e">
        <f t="shared" si="4"/>
        <v>#VALUE!</v>
      </c>
      <c r="W7" s="258" t="e">
        <f t="shared" si="5"/>
        <v>#VALUE!</v>
      </c>
      <c r="X7" s="173" t="e">
        <f t="shared" si="6"/>
        <v>#VALUE!</v>
      </c>
      <c r="Y7" s="173">
        <f t="shared" si="7"/>
        <v>1</v>
      </c>
    </row>
  </sheetData>
  <sheetProtection algorithmName="SHA-512" hashValue="k+RlbzL4gSEIlS6K2wYzoxaUEy/KNJYbS6EbR3MRfysg+5YZb5Q//cOj0QlMOxthkyXXSfYonfRHJnvMyhonsw==" saltValue="QDoIObar9JMxpaP51K6q/A==" spinCount="100000" sheet="1" objects="1" scenarios="1" formatColumns="0" formatRows="0" selectLockedCell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23"/>
  <sheetViews>
    <sheetView topLeftCell="J1" workbookViewId="0">
      <selection activeCell="R11" sqref="R11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  <col min="17" max="17" width="16.7109375" customWidth="1"/>
    <col min="18" max="18" width="19.28515625" customWidth="1"/>
  </cols>
  <sheetData>
    <row r="2" spans="1:18" ht="30" x14ac:dyDescent="0.25">
      <c r="A2" t="s">
        <v>495</v>
      </c>
      <c r="B2" s="1" t="s">
        <v>0</v>
      </c>
      <c r="C2" s="1" t="s">
        <v>458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520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483</v>
      </c>
      <c r="Q2" s="11" t="s">
        <v>931</v>
      </c>
      <c r="R2" s="11" t="s">
        <v>930</v>
      </c>
    </row>
    <row r="3" spans="1:18" x14ac:dyDescent="0.25">
      <c r="A3" t="s">
        <v>419</v>
      </c>
      <c r="B3" t="s">
        <v>4</v>
      </c>
      <c r="C3" t="s">
        <v>24</v>
      </c>
      <c r="D3" t="s">
        <v>5</v>
      </c>
      <c r="E3" t="s">
        <v>498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484</v>
      </c>
      <c r="Q3" s="302">
        <v>2</v>
      </c>
      <c r="R3" s="302">
        <v>0.5</v>
      </c>
    </row>
    <row r="4" spans="1:18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480</v>
      </c>
      <c r="O4" t="s">
        <v>446</v>
      </c>
      <c r="P4" t="s">
        <v>485</v>
      </c>
      <c r="Q4" s="302">
        <v>4</v>
      </c>
      <c r="R4" s="302">
        <v>1</v>
      </c>
    </row>
    <row r="5" spans="1:18" x14ac:dyDescent="0.25">
      <c r="B5" t="s">
        <v>8</v>
      </c>
      <c r="D5" t="s">
        <v>9</v>
      </c>
      <c r="E5" t="s">
        <v>932</v>
      </c>
      <c r="F5" t="s">
        <v>37</v>
      </c>
      <c r="I5" t="s">
        <v>426</v>
      </c>
      <c r="J5">
        <v>3</v>
      </c>
      <c r="K5" t="s">
        <v>431</v>
      </c>
      <c r="N5" t="s">
        <v>441</v>
      </c>
      <c r="Q5" s="302">
        <v>8</v>
      </c>
      <c r="R5" s="302">
        <v>2.5</v>
      </c>
    </row>
    <row r="6" spans="1:18" x14ac:dyDescent="0.25">
      <c r="B6" t="s">
        <v>10</v>
      </c>
      <c r="D6" t="s">
        <v>11</v>
      </c>
      <c r="E6" t="s">
        <v>31</v>
      </c>
      <c r="I6" t="s">
        <v>427</v>
      </c>
      <c r="J6">
        <v>2</v>
      </c>
      <c r="K6" t="s">
        <v>432</v>
      </c>
      <c r="N6" t="s">
        <v>481</v>
      </c>
      <c r="Q6" s="302">
        <v>16</v>
      </c>
      <c r="R6" s="302">
        <v>3</v>
      </c>
    </row>
    <row r="7" spans="1:18" x14ac:dyDescent="0.25">
      <c r="B7" t="s">
        <v>12</v>
      </c>
      <c r="E7" t="s">
        <v>927</v>
      </c>
      <c r="I7" t="s">
        <v>428</v>
      </c>
      <c r="J7">
        <v>1</v>
      </c>
      <c r="K7" t="s">
        <v>462</v>
      </c>
      <c r="Q7" s="302">
        <v>24</v>
      </c>
      <c r="R7" s="302">
        <v>5</v>
      </c>
    </row>
    <row r="8" spans="1:18" x14ac:dyDescent="0.25">
      <c r="B8" t="s">
        <v>13</v>
      </c>
      <c r="Q8" s="302">
        <v>30</v>
      </c>
      <c r="R8" s="302">
        <v>10</v>
      </c>
    </row>
    <row r="9" spans="1:18" x14ac:dyDescent="0.25">
      <c r="B9" t="s">
        <v>14</v>
      </c>
      <c r="Q9" s="302">
        <v>35</v>
      </c>
      <c r="R9" s="302"/>
    </row>
    <row r="10" spans="1:18" x14ac:dyDescent="0.25">
      <c r="B10" t="s">
        <v>15</v>
      </c>
      <c r="Q10" s="302">
        <v>50</v>
      </c>
      <c r="R10" s="302"/>
    </row>
    <row r="11" spans="1:18" x14ac:dyDescent="0.25">
      <c r="B11" t="s">
        <v>16</v>
      </c>
      <c r="Q11" s="302"/>
      <c r="R11" s="302"/>
    </row>
    <row r="12" spans="1:18" x14ac:dyDescent="0.25">
      <c r="B12" t="s">
        <v>17</v>
      </c>
      <c r="Q12" s="302"/>
      <c r="R12" s="302"/>
    </row>
    <row r="13" spans="1:18" x14ac:dyDescent="0.25">
      <c r="B13" t="s">
        <v>18</v>
      </c>
      <c r="Q13" s="302"/>
      <c r="R13" s="302"/>
    </row>
    <row r="14" spans="1:18" x14ac:dyDescent="0.25">
      <c r="B14" t="s">
        <v>19</v>
      </c>
    </row>
    <row r="15" spans="1:18" x14ac:dyDescent="0.25">
      <c r="B15" t="s">
        <v>20</v>
      </c>
    </row>
    <row r="16" spans="1:18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32</vt:i4>
      </vt:variant>
    </vt:vector>
  </HeadingPairs>
  <TitlesOfParts>
    <vt:vector size="46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DimosCoverage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maxDown</vt:lpstr>
      <vt:lpstr>maxUp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cp:lastPrinted>2018-01-17T10:26:04Z</cp:lastPrinted>
  <dcterms:created xsi:type="dcterms:W3CDTF">2015-03-10T09:10:24Z</dcterms:created>
  <dcterms:modified xsi:type="dcterms:W3CDTF">2018-10-03T07:47:52Z</dcterms:modified>
</cp:coreProperties>
</file>