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W:\ΕΕΤΤ\ΔΕΙΚΤΕΣ ΠΟΙΟΤΗΤΑΣ\A2021\"/>
    </mc:Choice>
  </mc:AlternateContent>
  <xr:revisionPtr revIDLastSave="0" documentId="8_{30EBF329-DE63-48B2-A4BF-97206DBB9F3F}" xr6:coauthVersionLast="46" xr6:coauthVersionMax="46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-120" yWindow="-120" windowWidth="20730" windowHeight="11160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S16" i="10" l="1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U3" i="13"/>
  <c r="W3" i="13"/>
  <c r="V3" i="13"/>
  <c r="X3" i="13" l="1"/>
  <c r="Y3" i="13" s="1"/>
  <c r="S3" i="13" s="1"/>
  <c r="K5" i="9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Q30" i="12" l="1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V5" i="13"/>
  <c r="V7" i="13"/>
  <c r="U6" i="13"/>
  <c r="U5" i="13"/>
  <c r="W5" i="13"/>
  <c r="V6" i="13"/>
  <c r="W6" i="13"/>
  <c r="V4" i="13"/>
  <c r="W7" i="13"/>
  <c r="U4" i="13"/>
  <c r="W4" i="13"/>
  <c r="U7" i="13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l="1"/>
  <c r="D20" i="10"/>
  <c r="D17" i="10"/>
  <c r="C16" i="6"/>
  <c r="S3" i="10"/>
  <c r="S19" i="10"/>
  <c r="D19" i="10" s="1"/>
  <c r="S5" i="10"/>
  <c r="D5" i="10" s="1"/>
  <c r="S24" i="10"/>
  <c r="D24" i="10" s="1"/>
  <c r="C20" i="6" l="1"/>
  <c r="D6" i="10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J200" i="4"/>
  <c r="K317" i="4"/>
  <c r="J317" i="4"/>
  <c r="K39" i="4"/>
  <c r="J39" i="4"/>
  <c r="K312" i="4"/>
  <c r="M312" i="4" s="1"/>
  <c r="J312" i="4"/>
  <c r="K259" i="4"/>
  <c r="M259" i="4" s="1"/>
  <c r="J259" i="4"/>
  <c r="K67" i="4"/>
  <c r="J67" i="4"/>
  <c r="K295" i="4"/>
  <c r="M295" i="4" s="1"/>
  <c r="J295" i="4"/>
  <c r="K192" i="4"/>
  <c r="J192" i="4"/>
  <c r="K326" i="4"/>
  <c r="J326" i="4"/>
  <c r="K278" i="4"/>
  <c r="M278" i="4" s="1"/>
  <c r="J278" i="4"/>
  <c r="K124" i="4"/>
  <c r="J124" i="4"/>
  <c r="K235" i="4"/>
  <c r="M235" i="4" s="1"/>
  <c r="J235" i="4"/>
  <c r="K187" i="4"/>
  <c r="J187" i="4"/>
  <c r="K139" i="4"/>
  <c r="M139" i="4" s="1"/>
  <c r="J139" i="4"/>
  <c r="K86" i="4"/>
  <c r="J86" i="4"/>
  <c r="K38" i="4"/>
  <c r="J38" i="4"/>
  <c r="K250" i="4"/>
  <c r="J250" i="4"/>
  <c r="K202" i="4"/>
  <c r="J202" i="4"/>
  <c r="K170" i="4"/>
  <c r="M170" i="4" s="1"/>
  <c r="J170" i="4"/>
  <c r="K122" i="4"/>
  <c r="J122" i="4"/>
  <c r="K73" i="4"/>
  <c r="J73" i="4"/>
  <c r="K41" i="4"/>
  <c r="J41" i="4"/>
  <c r="K257" i="4"/>
  <c r="M257" i="4" s="1"/>
  <c r="J257" i="4"/>
  <c r="K209" i="4"/>
  <c r="J209" i="4"/>
  <c r="K145" i="4"/>
  <c r="M145" i="4" s="1"/>
  <c r="J145" i="4"/>
  <c r="K97" i="4"/>
  <c r="J97" i="4"/>
  <c r="K60" i="4"/>
  <c r="J60" i="4"/>
  <c r="K10" i="4"/>
  <c r="J10" i="4"/>
  <c r="K11" i="4"/>
  <c r="J11" i="4"/>
  <c r="K95" i="4"/>
  <c r="J95" i="4"/>
  <c r="K260" i="4"/>
  <c r="M260" i="4" s="1"/>
  <c r="J260" i="4"/>
  <c r="K23" i="4"/>
  <c r="J23" i="4"/>
  <c r="K268" i="4"/>
  <c r="M268" i="4" s="1"/>
  <c r="J268" i="4"/>
  <c r="K120" i="4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J240" i="4"/>
  <c r="K176" i="4"/>
  <c r="J176" i="4"/>
  <c r="K112" i="4"/>
  <c r="M112" i="4" s="1"/>
  <c r="J112" i="4"/>
  <c r="K47" i="4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J236" i="4"/>
  <c r="K172" i="4"/>
  <c r="M172" i="4" s="1"/>
  <c r="J172" i="4"/>
  <c r="K108" i="4"/>
  <c r="M108" i="4" s="1"/>
  <c r="J108" i="4"/>
  <c r="K27" i="4"/>
  <c r="J27" i="4"/>
  <c r="K247" i="4"/>
  <c r="M247" i="4" s="1"/>
  <c r="J247" i="4"/>
  <c r="K231" i="4"/>
  <c r="M231" i="4" s="1"/>
  <c r="J231" i="4"/>
  <c r="K215" i="4"/>
  <c r="M215" i="4" s="1"/>
  <c r="J215" i="4"/>
  <c r="K199" i="4"/>
  <c r="J199" i="4"/>
  <c r="K183" i="4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J66" i="4"/>
  <c r="K50" i="4"/>
  <c r="J50" i="4"/>
  <c r="K34" i="4"/>
  <c r="J34" i="4"/>
  <c r="K18" i="4"/>
  <c r="J18" i="4"/>
  <c r="K262" i="4"/>
  <c r="M262" i="4" s="1"/>
  <c r="J262" i="4"/>
  <c r="K246" i="4"/>
  <c r="M246" i="4" s="1"/>
  <c r="J246" i="4"/>
  <c r="K230" i="4"/>
  <c r="M230" i="4" s="1"/>
  <c r="J230" i="4"/>
  <c r="K214" i="4"/>
  <c r="J214" i="4"/>
  <c r="K198" i="4"/>
  <c r="J198" i="4"/>
  <c r="K182" i="4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J85" i="4"/>
  <c r="K69" i="4"/>
  <c r="J69" i="4"/>
  <c r="K53" i="4"/>
  <c r="J53" i="4"/>
  <c r="K37" i="4"/>
  <c r="J37" i="4"/>
  <c r="K21" i="4"/>
  <c r="M21" i="4" s="1"/>
  <c r="J21" i="4"/>
  <c r="K269" i="4"/>
  <c r="M269" i="4" s="1"/>
  <c r="J269" i="4"/>
  <c r="K253" i="4"/>
  <c r="M253" i="4" s="1"/>
  <c r="J253" i="4"/>
  <c r="K237" i="4"/>
  <c r="J237" i="4"/>
  <c r="K221" i="4"/>
  <c r="M221" i="4" s="1"/>
  <c r="J221" i="4"/>
  <c r="K205" i="4"/>
  <c r="J205" i="4"/>
  <c r="K189" i="4"/>
  <c r="M189" i="4" s="1"/>
  <c r="J189" i="4"/>
  <c r="K173" i="4"/>
  <c r="J173" i="4"/>
  <c r="K157" i="4"/>
  <c r="M157" i="4" s="1"/>
  <c r="J157" i="4"/>
  <c r="K141" i="4"/>
  <c r="J141" i="4"/>
  <c r="K125" i="4"/>
  <c r="M125" i="4" s="1"/>
  <c r="J125" i="4"/>
  <c r="K109" i="4"/>
  <c r="J109" i="4"/>
  <c r="K88" i="4"/>
  <c r="J88" i="4"/>
  <c r="K72" i="4"/>
  <c r="J72" i="4"/>
  <c r="K56" i="4"/>
  <c r="J56" i="4"/>
  <c r="K40" i="4"/>
  <c r="J40" i="4"/>
  <c r="K24" i="4"/>
  <c r="J24" i="4"/>
  <c r="K5" i="4"/>
  <c r="J5" i="4"/>
  <c r="K7" i="4"/>
  <c r="J7" i="4"/>
  <c r="K91" i="4"/>
  <c r="J91" i="4"/>
  <c r="K216" i="4"/>
  <c r="J216" i="4"/>
  <c r="K273" i="4"/>
  <c r="M273" i="4" s="1"/>
  <c r="J273" i="4"/>
  <c r="K296" i="4"/>
  <c r="M296" i="4" s="1"/>
  <c r="J296" i="4"/>
  <c r="K196" i="4"/>
  <c r="J196" i="4"/>
  <c r="K2" i="4"/>
  <c r="J2" i="4"/>
  <c r="K279" i="4"/>
  <c r="M279" i="4" s="1"/>
  <c r="J279" i="4"/>
  <c r="K128" i="4"/>
  <c r="M128" i="4" s="1"/>
  <c r="J128" i="4"/>
  <c r="K294" i="4"/>
  <c r="M294" i="4" s="1"/>
  <c r="J294" i="4"/>
  <c r="K188" i="4"/>
  <c r="J188" i="4"/>
  <c r="K251" i="4"/>
  <c r="J251" i="4"/>
  <c r="K203" i="4"/>
  <c r="J203" i="4"/>
  <c r="K155" i="4"/>
  <c r="M155" i="4" s="1"/>
  <c r="J155" i="4"/>
  <c r="K107" i="4"/>
  <c r="M107" i="4" s="1"/>
  <c r="J107" i="4"/>
  <c r="K54" i="4"/>
  <c r="J54" i="4"/>
  <c r="K266" i="4"/>
  <c r="J266" i="4"/>
  <c r="K218" i="4"/>
  <c r="M218" i="4" s="1"/>
  <c r="J218" i="4"/>
  <c r="K154" i="4"/>
  <c r="M154" i="4" s="1"/>
  <c r="J154" i="4"/>
  <c r="K106" i="4"/>
  <c r="M106" i="4" s="1"/>
  <c r="J106" i="4"/>
  <c r="K57" i="4"/>
  <c r="J57" i="4"/>
  <c r="K25" i="4"/>
  <c r="J25" i="4"/>
  <c r="K241" i="4"/>
  <c r="M241" i="4" s="1"/>
  <c r="J241" i="4"/>
  <c r="K193" i="4"/>
  <c r="J193" i="4"/>
  <c r="K161" i="4"/>
  <c r="M161" i="4" s="1"/>
  <c r="J161" i="4"/>
  <c r="K113" i="4"/>
  <c r="M113" i="4" s="1"/>
  <c r="J113" i="4"/>
  <c r="K44" i="4"/>
  <c r="J44" i="4"/>
  <c r="K71" i="4"/>
  <c r="J71" i="4"/>
  <c r="K87" i="4"/>
  <c r="J87" i="4"/>
  <c r="K184" i="4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J288" i="4"/>
  <c r="K272" i="4"/>
  <c r="M272" i="4" s="1"/>
  <c r="J272" i="4"/>
  <c r="K228" i="4"/>
  <c r="J228" i="4"/>
  <c r="K164" i="4"/>
  <c r="M164" i="4" s="1"/>
  <c r="J164" i="4"/>
  <c r="K100" i="4"/>
  <c r="J100" i="4"/>
  <c r="K35" i="4"/>
  <c r="J35" i="4"/>
  <c r="K319" i="4"/>
  <c r="M319" i="4" s="1"/>
  <c r="J319" i="4"/>
  <c r="K303" i="4"/>
  <c r="M303" i="4" s="1"/>
  <c r="J303" i="4"/>
  <c r="K287" i="4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J286" i="4"/>
  <c r="K270" i="4"/>
  <c r="M270" i="4" s="1"/>
  <c r="J270" i="4"/>
  <c r="K220" i="4"/>
  <c r="M220" i="4" s="1"/>
  <c r="J220" i="4"/>
  <c r="K156" i="4"/>
  <c r="J156" i="4"/>
  <c r="K75" i="4"/>
  <c r="J75" i="4"/>
  <c r="K9" i="4"/>
  <c r="J9" i="4"/>
  <c r="K243" i="4"/>
  <c r="M243" i="4" s="1"/>
  <c r="J243" i="4"/>
  <c r="K227" i="4"/>
  <c r="J227" i="4"/>
  <c r="K211" i="4"/>
  <c r="J211" i="4"/>
  <c r="K195" i="4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J115" i="4"/>
  <c r="K99" i="4"/>
  <c r="J99" i="4"/>
  <c r="K78" i="4"/>
  <c r="J78" i="4"/>
  <c r="K62" i="4"/>
  <c r="J62" i="4"/>
  <c r="K46" i="4"/>
  <c r="J46" i="4"/>
  <c r="K30" i="4"/>
  <c r="J30" i="4"/>
  <c r="K13" i="4"/>
  <c r="J13" i="4"/>
  <c r="K258" i="4"/>
  <c r="J258" i="4"/>
  <c r="K242" i="4"/>
  <c r="M242" i="4" s="1"/>
  <c r="J242" i="4"/>
  <c r="K226" i="4"/>
  <c r="M226" i="4" s="1"/>
  <c r="J226" i="4"/>
  <c r="K210" i="4"/>
  <c r="M210" i="4" s="1"/>
  <c r="J210" i="4"/>
  <c r="K194" i="4"/>
  <c r="J194" i="4"/>
  <c r="K178" i="4"/>
  <c r="M178" i="4" s="1"/>
  <c r="J178" i="4"/>
  <c r="K162" i="4"/>
  <c r="M162" i="4" s="1"/>
  <c r="J162" i="4"/>
  <c r="K146" i="4"/>
  <c r="M146" i="4" s="1"/>
  <c r="J146" i="4"/>
  <c r="K130" i="4"/>
  <c r="J130" i="4"/>
  <c r="K114" i="4"/>
  <c r="M114" i="4" s="1"/>
  <c r="J114" i="4"/>
  <c r="K98" i="4"/>
  <c r="M98" i="4" s="1"/>
  <c r="J98" i="4"/>
  <c r="K81" i="4"/>
  <c r="M81" i="4" s="1"/>
  <c r="J81" i="4"/>
  <c r="K65" i="4"/>
  <c r="J65" i="4"/>
  <c r="K49" i="4"/>
  <c r="J49" i="4"/>
  <c r="K33" i="4"/>
  <c r="J33" i="4"/>
  <c r="K17" i="4"/>
  <c r="J17" i="4"/>
  <c r="K265" i="4"/>
  <c r="J265" i="4"/>
  <c r="K249" i="4"/>
  <c r="M249" i="4" s="1"/>
  <c r="J249" i="4"/>
  <c r="K233" i="4"/>
  <c r="M233" i="4" s="1"/>
  <c r="J233" i="4"/>
  <c r="K217" i="4"/>
  <c r="J217" i="4"/>
  <c r="K201" i="4"/>
  <c r="J201" i="4"/>
  <c r="K185" i="4"/>
  <c r="J185" i="4"/>
  <c r="K169" i="4"/>
  <c r="J169" i="4"/>
  <c r="K153" i="4"/>
  <c r="M153" i="4" s="1"/>
  <c r="J153" i="4"/>
  <c r="K137" i="4"/>
  <c r="J137" i="4"/>
  <c r="K121" i="4"/>
  <c r="M121" i="4" s="1"/>
  <c r="J121" i="4"/>
  <c r="K105" i="4"/>
  <c r="M105" i="4" s="1"/>
  <c r="J105" i="4"/>
  <c r="K84" i="4"/>
  <c r="J84" i="4"/>
  <c r="K68" i="4"/>
  <c r="J68" i="4"/>
  <c r="K52" i="4"/>
  <c r="J52" i="4"/>
  <c r="K36" i="4"/>
  <c r="J36" i="4"/>
  <c r="K20" i="4"/>
  <c r="J20" i="4"/>
  <c r="K4" i="4"/>
  <c r="J4" i="4"/>
  <c r="K3" i="4"/>
  <c r="J3" i="4"/>
  <c r="K313" i="4"/>
  <c r="M313" i="4" s="1"/>
  <c r="J313" i="4"/>
  <c r="K277" i="4"/>
  <c r="J277" i="4"/>
  <c r="K55" i="4"/>
  <c r="M55" i="4" s="1"/>
  <c r="J55" i="4"/>
  <c r="K280" i="4"/>
  <c r="M280" i="4" s="1"/>
  <c r="J280" i="4"/>
  <c r="K132" i="4"/>
  <c r="M132" i="4" s="1"/>
  <c r="J132" i="4"/>
  <c r="K311" i="4"/>
  <c r="J311" i="4"/>
  <c r="K256" i="4"/>
  <c r="J256" i="4"/>
  <c r="K63" i="4"/>
  <c r="J63" i="4"/>
  <c r="K310" i="4"/>
  <c r="M310" i="4" s="1"/>
  <c r="J310" i="4"/>
  <c r="K252" i="4"/>
  <c r="M252" i="4" s="1"/>
  <c r="J252" i="4"/>
  <c r="K43" i="4"/>
  <c r="J43" i="4"/>
  <c r="K219" i="4"/>
  <c r="J219" i="4"/>
  <c r="K171" i="4"/>
  <c r="M171" i="4" s="1"/>
  <c r="J171" i="4"/>
  <c r="K123" i="4"/>
  <c r="J123" i="4"/>
  <c r="K70" i="4"/>
  <c r="J70" i="4"/>
  <c r="K22" i="4"/>
  <c r="J22" i="4"/>
  <c r="K234" i="4"/>
  <c r="M234" i="4" s="1"/>
  <c r="J234" i="4"/>
  <c r="K186" i="4"/>
  <c r="J186" i="4"/>
  <c r="K138" i="4"/>
  <c r="J138" i="4"/>
  <c r="K89" i="4"/>
  <c r="M89" i="4" s="1"/>
  <c r="J89" i="4"/>
  <c r="K6" i="4"/>
  <c r="J6" i="4"/>
  <c r="K225" i="4"/>
  <c r="M225" i="4" s="1"/>
  <c r="J225" i="4"/>
  <c r="K177" i="4"/>
  <c r="J177" i="4"/>
  <c r="K129" i="4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J316" i="4"/>
  <c r="K300" i="4"/>
  <c r="J300" i="4"/>
  <c r="K284" i="4"/>
  <c r="M284" i="4" s="1"/>
  <c r="J284" i="4"/>
  <c r="K267" i="4"/>
  <c r="M267" i="4" s="1"/>
  <c r="J267" i="4"/>
  <c r="K212" i="4"/>
  <c r="J212" i="4"/>
  <c r="K148" i="4"/>
  <c r="M148" i="4" s="1"/>
  <c r="J148" i="4"/>
  <c r="K83" i="4"/>
  <c r="M83" i="4" s="1"/>
  <c r="J83" i="4"/>
  <c r="K19" i="4"/>
  <c r="J19" i="4"/>
  <c r="K315" i="4"/>
  <c r="M315" i="4" s="1"/>
  <c r="J315" i="4"/>
  <c r="K299" i="4"/>
  <c r="J299" i="4"/>
  <c r="K283" i="4"/>
  <c r="M283" i="4" s="1"/>
  <c r="J283" i="4"/>
  <c r="K264" i="4"/>
  <c r="M264" i="4" s="1"/>
  <c r="J264" i="4"/>
  <c r="K208" i="4"/>
  <c r="J208" i="4"/>
  <c r="K144" i="4"/>
  <c r="J144" i="4"/>
  <c r="K79" i="4"/>
  <c r="J79" i="4"/>
  <c r="K14" i="4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J204" i="4"/>
  <c r="K140" i="4"/>
  <c r="M140" i="4" s="1"/>
  <c r="J140" i="4"/>
  <c r="K59" i="4"/>
  <c r="J59" i="4"/>
  <c r="K255" i="4"/>
  <c r="M255" i="4" s="1"/>
  <c r="J255" i="4"/>
  <c r="K239" i="4"/>
  <c r="M239" i="4" s="1"/>
  <c r="J239" i="4"/>
  <c r="K223" i="4"/>
  <c r="M223" i="4" s="1"/>
  <c r="J223" i="4"/>
  <c r="K207" i="4"/>
  <c r="J207" i="4"/>
  <c r="K191" i="4"/>
  <c r="J191" i="4"/>
  <c r="K175" i="4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J74" i="4"/>
  <c r="K58" i="4"/>
  <c r="J58" i="4"/>
  <c r="K42" i="4"/>
  <c r="J42" i="4"/>
  <c r="K26" i="4"/>
  <c r="J26" i="4"/>
  <c r="K8" i="4"/>
  <c r="J8" i="4"/>
  <c r="K254" i="4"/>
  <c r="M254" i="4" s="1"/>
  <c r="J254" i="4"/>
  <c r="K238" i="4"/>
  <c r="M238" i="4" s="1"/>
  <c r="J238" i="4"/>
  <c r="K222" i="4"/>
  <c r="M222" i="4" s="1"/>
  <c r="J222" i="4"/>
  <c r="K206" i="4"/>
  <c r="J206" i="4"/>
  <c r="K190" i="4"/>
  <c r="J190" i="4"/>
  <c r="K174" i="4"/>
  <c r="M174" i="4" s="1"/>
  <c r="J174" i="4"/>
  <c r="K158" i="4"/>
  <c r="J158" i="4"/>
  <c r="K142" i="4"/>
  <c r="M142" i="4" s="1"/>
  <c r="J142" i="4"/>
  <c r="K126" i="4"/>
  <c r="M126" i="4" s="1"/>
  <c r="J126" i="4"/>
  <c r="K110" i="4"/>
  <c r="M110" i="4" s="1"/>
  <c r="J110" i="4"/>
  <c r="K77" i="4"/>
  <c r="J77" i="4"/>
  <c r="K61" i="4"/>
  <c r="J61" i="4"/>
  <c r="K45" i="4"/>
  <c r="J45" i="4"/>
  <c r="K29" i="4"/>
  <c r="J29" i="4"/>
  <c r="K12" i="4"/>
  <c r="J12" i="4"/>
  <c r="K261" i="4"/>
  <c r="J261" i="4"/>
  <c r="K245" i="4"/>
  <c r="M245" i="4" s="1"/>
  <c r="J245" i="4"/>
  <c r="K229" i="4"/>
  <c r="M229" i="4" s="1"/>
  <c r="J229" i="4"/>
  <c r="K213" i="4"/>
  <c r="J213" i="4"/>
  <c r="K197" i="4"/>
  <c r="J197" i="4"/>
  <c r="K181" i="4"/>
  <c r="M181" i="4" s="1"/>
  <c r="J181" i="4"/>
  <c r="K165" i="4"/>
  <c r="M165" i="4" s="1"/>
  <c r="J165" i="4"/>
  <c r="K149" i="4"/>
  <c r="J149" i="4"/>
  <c r="K133" i="4"/>
  <c r="M133" i="4" s="1"/>
  <c r="J133" i="4"/>
  <c r="K117" i="4"/>
  <c r="J117" i="4"/>
  <c r="K101" i="4"/>
  <c r="M101" i="4" s="1"/>
  <c r="J101" i="4"/>
  <c r="K80" i="4"/>
  <c r="J80" i="4"/>
  <c r="K64" i="4"/>
  <c r="J64" i="4"/>
  <c r="K48" i="4"/>
  <c r="J48" i="4"/>
  <c r="K32" i="4"/>
  <c r="J32" i="4"/>
  <c r="K16" i="4"/>
  <c r="J16" i="4"/>
  <c r="K15" i="4"/>
  <c r="J15" i="4"/>
  <c r="K92" i="4"/>
  <c r="J92" i="4"/>
  <c r="M92" i="4" l="1"/>
  <c r="M15" i="4"/>
  <c r="M16" i="4"/>
  <c r="M32" i="4"/>
  <c r="M48" i="4"/>
  <c r="M64" i="4"/>
  <c r="M80" i="4"/>
  <c r="M117" i="4"/>
  <c r="M149" i="4"/>
  <c r="M197" i="4"/>
  <c r="M213" i="4"/>
  <c r="M261" i="4"/>
  <c r="M12" i="4"/>
  <c r="M29" i="4"/>
  <c r="M45" i="4"/>
  <c r="M61" i="4"/>
  <c r="M77" i="4"/>
  <c r="M158" i="4"/>
  <c r="M190" i="4"/>
  <c r="M206" i="4"/>
  <c r="M8" i="4"/>
  <c r="M26" i="4"/>
  <c r="M42" i="4"/>
  <c r="M58" i="4"/>
  <c r="M74" i="4"/>
  <c r="M175" i="4"/>
  <c r="M191" i="4"/>
  <c r="M207" i="4"/>
  <c r="M59" i="4"/>
  <c r="M204" i="4"/>
  <c r="M14" i="4"/>
  <c r="M79" i="4"/>
  <c r="M144" i="4"/>
  <c r="M208" i="4"/>
  <c r="M299" i="4"/>
  <c r="M19" i="4"/>
  <c r="M212" i="4"/>
  <c r="M300" i="4"/>
  <c r="M316" i="4"/>
  <c r="M152" i="4"/>
  <c r="M129" i="4"/>
  <c r="M177" i="4"/>
  <c r="M6" i="4"/>
  <c r="M138" i="4"/>
  <c r="M186" i="4"/>
  <c r="M22" i="4"/>
  <c r="M70" i="4"/>
  <c r="M123" i="4"/>
  <c r="M219" i="4"/>
  <c r="M43" i="4"/>
  <c r="M63" i="4"/>
  <c r="M256" i="4"/>
  <c r="M311" i="4"/>
  <c r="M277" i="4"/>
  <c r="M4" i="4"/>
  <c r="M20" i="4"/>
  <c r="M36" i="4"/>
  <c r="M52" i="4"/>
  <c r="M68" i="4"/>
  <c r="M84" i="4"/>
  <c r="M137" i="4"/>
  <c r="M169" i="4"/>
  <c r="M185" i="4"/>
  <c r="M201" i="4"/>
  <c r="M217" i="4"/>
  <c r="M265" i="4"/>
  <c r="M33" i="4"/>
  <c r="M49" i="4"/>
  <c r="M65" i="4"/>
  <c r="M130" i="4"/>
  <c r="M194" i="4"/>
  <c r="M258" i="4"/>
  <c r="M30" i="4"/>
  <c r="M46" i="4"/>
  <c r="M62" i="4"/>
  <c r="M78" i="4"/>
  <c r="M99" i="4"/>
  <c r="M115" i="4"/>
  <c r="M195" i="4"/>
  <c r="M211" i="4"/>
  <c r="M227" i="4"/>
  <c r="M9" i="4"/>
  <c r="M75" i="4"/>
  <c r="M156" i="4"/>
  <c r="M286" i="4"/>
  <c r="M287" i="4"/>
  <c r="M35" i="4"/>
  <c r="M100" i="4"/>
  <c r="M228" i="4"/>
  <c r="M288" i="4"/>
  <c r="M184" i="4"/>
  <c r="M87" i="4"/>
  <c r="M71" i="4"/>
  <c r="M44" i="4"/>
  <c r="M193" i="4"/>
  <c r="M25" i="4"/>
  <c r="M57" i="4"/>
  <c r="M266" i="4"/>
  <c r="M54" i="4"/>
  <c r="M203" i="4"/>
  <c r="M251" i="4"/>
  <c r="M188" i="4"/>
  <c r="M2" i="4"/>
  <c r="M196" i="4"/>
  <c r="M216" i="4"/>
  <c r="M91" i="4"/>
  <c r="M7" i="4"/>
  <c r="M24" i="4"/>
  <c r="M40" i="4"/>
  <c r="M56" i="4"/>
  <c r="M72" i="4"/>
  <c r="M88" i="4"/>
  <c r="M109" i="4"/>
  <c r="M141" i="4"/>
  <c r="M173" i="4"/>
  <c r="M205" i="4"/>
  <c r="M237" i="4"/>
  <c r="M37" i="4"/>
  <c r="M53" i="4"/>
  <c r="M69" i="4"/>
  <c r="M85" i="4"/>
  <c r="M182" i="4"/>
  <c r="M198" i="4"/>
  <c r="M214" i="4"/>
  <c r="M18" i="4"/>
  <c r="M34" i="4"/>
  <c r="M50" i="4"/>
  <c r="M66" i="4"/>
  <c r="M183" i="4"/>
  <c r="M199" i="4"/>
  <c r="M27" i="4"/>
  <c r="M236" i="4"/>
  <c r="M47" i="4"/>
  <c r="M176" i="4"/>
  <c r="M240" i="4"/>
  <c r="M51" i="4"/>
  <c r="M292" i="4"/>
  <c r="M120" i="4"/>
  <c r="M23" i="4"/>
  <c r="M95" i="4"/>
  <c r="M11" i="4"/>
  <c r="M10" i="4"/>
  <c r="M60" i="4"/>
  <c r="M97" i="4"/>
  <c r="M209" i="4"/>
  <c r="M41" i="4"/>
  <c r="M73" i="4"/>
  <c r="M122" i="4"/>
  <c r="M202" i="4"/>
  <c r="M250" i="4"/>
  <c r="M38" i="4"/>
  <c r="M86" i="4"/>
  <c r="M187" i="4"/>
  <c r="M124" i="4"/>
  <c r="M326" i="4"/>
  <c r="M192" i="4"/>
  <c r="M67" i="4"/>
  <c r="M39" i="4"/>
  <c r="M317" i="4"/>
  <c r="M200" i="4"/>
  <c r="M5" i="4"/>
  <c r="M17" i="4"/>
  <c r="M13" i="4"/>
  <c r="M3" i="4"/>
  <c r="N2" i="4"/>
  <c r="N3" i="4" l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E11" i="8" l="1"/>
  <c r="D12" i="8"/>
  <c r="D10" i="8"/>
  <c r="D9" i="8"/>
  <c r="E10" i="8"/>
  <c r="D11" i="8"/>
  <c r="E9" i="8"/>
  <c r="D8" i="8"/>
  <c r="E12" i="8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  <c r="F4" i="9"/>
  <c r="E3" i="9"/>
  <c r="E5" i="9"/>
  <c r="E4" i="9"/>
  <c r="E6" i="9"/>
  <c r="F3" i="9"/>
  <c r="F5" i="9"/>
  <c r="F6" i="9"/>
  <c r="H307" i="5"/>
  <c r="H216" i="5"/>
  <c r="H298" i="5"/>
  <c r="H288" i="5"/>
  <c r="H252" i="5"/>
  <c r="H260" i="5"/>
  <c r="H124" i="5"/>
  <c r="H77" i="5"/>
  <c r="H238" i="5"/>
  <c r="H325" i="5"/>
  <c r="H243" i="5"/>
  <c r="H186" i="5"/>
  <c r="H139" i="5"/>
  <c r="H263" i="5"/>
  <c r="H187" i="5"/>
  <c r="H107" i="5"/>
  <c r="H122" i="5"/>
  <c r="H196" i="5"/>
  <c r="H84" i="5"/>
  <c r="H138" i="5"/>
  <c r="H151" i="5"/>
  <c r="H169" i="5"/>
  <c r="H227" i="5"/>
  <c r="H78" i="5"/>
  <c r="H266" i="5"/>
  <c r="H95" i="5"/>
  <c r="H38" i="5"/>
  <c r="H56" i="5"/>
  <c r="H116" i="5"/>
  <c r="H195" i="5"/>
  <c r="H57" i="5"/>
  <c r="H154" i="5"/>
  <c r="H11" i="5"/>
  <c r="H185" i="5"/>
  <c r="H269" i="5"/>
  <c r="H131" i="5"/>
  <c r="H158" i="5"/>
  <c r="H65" i="5"/>
  <c r="H175" i="5"/>
  <c r="H303" i="5"/>
  <c r="H215" i="5"/>
  <c r="H3" i="5"/>
  <c r="H184" i="5"/>
  <c r="H27" i="5"/>
  <c r="H301" i="5"/>
  <c r="H134" i="5"/>
  <c r="H236" i="5"/>
  <c r="H223" i="5"/>
  <c r="H202" i="5"/>
  <c r="H231" i="5"/>
  <c r="H217" i="5"/>
  <c r="H91" i="5"/>
  <c r="H36" i="5"/>
  <c r="H103" i="5"/>
  <c r="H5" i="5"/>
  <c r="H209" i="5"/>
  <c r="H130" i="5"/>
  <c r="H312" i="5"/>
  <c r="H286" i="5"/>
  <c r="H284" i="5"/>
  <c r="H53" i="5"/>
  <c r="H152" i="5"/>
  <c r="H161" i="5"/>
  <c r="H247" i="5"/>
  <c r="H145" i="5"/>
  <c r="H22" i="5"/>
  <c r="H40" i="5"/>
  <c r="H297" i="5"/>
  <c r="H183" i="5"/>
  <c r="H207" i="5"/>
  <c r="H311" i="5"/>
  <c r="H47" i="5"/>
  <c r="H176" i="5"/>
  <c r="H304" i="5"/>
  <c r="H292" i="5"/>
  <c r="H212" i="5"/>
  <c r="H92" i="5"/>
  <c r="H237" i="5"/>
  <c r="H279" i="5"/>
  <c r="H261" i="5"/>
  <c r="H69" i="5"/>
  <c r="H100" i="5"/>
  <c r="H258" i="5"/>
  <c r="H89" i="5"/>
  <c r="H257" i="5"/>
  <c r="H48" i="5"/>
  <c r="H80" i="5"/>
  <c r="H58" i="5"/>
  <c r="H267" i="5"/>
  <c r="H159" i="5"/>
  <c r="H256" i="5"/>
  <c r="H204" i="5"/>
  <c r="H224" i="5"/>
  <c r="H104" i="5"/>
  <c r="H102" i="5"/>
  <c r="H205" i="5"/>
  <c r="H181" i="5"/>
  <c r="H271" i="5"/>
  <c r="H273" i="5"/>
  <c r="H162" i="5"/>
  <c r="H274" i="5"/>
  <c r="H120" i="5"/>
  <c r="H121" i="5"/>
  <c r="H88" i="5"/>
  <c r="H66" i="5"/>
  <c r="H299" i="5"/>
  <c r="H214" i="5"/>
  <c r="H7" i="5"/>
  <c r="H249" i="5"/>
  <c r="H76" i="5"/>
  <c r="H110" i="5"/>
  <c r="H8" i="5"/>
  <c r="H232" i="5"/>
  <c r="H96" i="5"/>
  <c r="H21" i="5"/>
  <c r="H234" i="5"/>
  <c r="H98" i="5"/>
  <c r="H115" i="5"/>
  <c r="H126" i="5"/>
  <c r="H323" i="5"/>
  <c r="H75" i="5"/>
  <c r="H283" i="5"/>
  <c r="H25" i="5"/>
  <c r="H15" i="5"/>
  <c r="H272" i="5"/>
  <c r="H136" i="5"/>
  <c r="H28" i="5"/>
  <c r="H208" i="5"/>
  <c r="H90" i="5"/>
  <c r="H19" i="5"/>
  <c r="H277" i="5"/>
  <c r="H203" i="5"/>
  <c r="H315" i="5"/>
  <c r="H64" i="5"/>
  <c r="H135" i="5"/>
  <c r="H30" i="5"/>
  <c r="H71" i="5"/>
  <c r="H51" i="5"/>
  <c r="H35" i="5"/>
  <c r="H37" i="5"/>
  <c r="H305" i="5"/>
  <c r="H157" i="5"/>
  <c r="H268" i="5"/>
  <c r="H218" i="5"/>
  <c r="H20" i="5"/>
  <c r="H112" i="5"/>
  <c r="H32" i="5"/>
  <c r="H55" i="5"/>
  <c r="H106" i="5"/>
  <c r="H105" i="5"/>
  <c r="H94" i="5"/>
  <c r="H172" i="5"/>
  <c r="H294" i="5"/>
  <c r="H45" i="5"/>
  <c r="H49" i="5"/>
  <c r="H125" i="5"/>
  <c r="H132" i="5"/>
  <c r="H245" i="5"/>
  <c r="H118" i="5"/>
  <c r="H321" i="5"/>
  <c r="H63" i="5"/>
  <c r="H133" i="5"/>
  <c r="H193" i="5"/>
  <c r="H12" i="5"/>
  <c r="H306" i="5"/>
  <c r="H43" i="5"/>
  <c r="H248" i="5"/>
  <c r="H296" i="5"/>
  <c r="H4" i="5"/>
  <c r="H213" i="5"/>
  <c r="H313" i="5"/>
  <c r="H182" i="5"/>
  <c r="H60" i="5"/>
  <c r="H82" i="5"/>
  <c r="H148" i="5"/>
  <c r="H142" i="5"/>
  <c r="H326" i="5"/>
  <c r="H308" i="5"/>
  <c r="H319" i="5"/>
  <c r="H219" i="5"/>
  <c r="H228" i="5"/>
  <c r="H295" i="5"/>
  <c r="H191" i="5"/>
  <c r="H17" i="5"/>
  <c r="H281" i="5"/>
  <c r="H192" i="5"/>
  <c r="H42" i="5"/>
  <c r="H309" i="5"/>
  <c r="H52" i="5"/>
  <c r="H61" i="5"/>
  <c r="H18" i="5"/>
  <c r="H163" i="5"/>
  <c r="H144" i="5"/>
  <c r="H44" i="5"/>
  <c r="H250" i="5"/>
  <c r="H9" i="5"/>
  <c r="H199" i="5"/>
  <c r="H270" i="5"/>
  <c r="H156" i="5"/>
  <c r="H14" i="5"/>
  <c r="H285" i="5"/>
  <c r="H210" i="5"/>
  <c r="H201" i="5"/>
  <c r="H109" i="5"/>
  <c r="H70" i="5"/>
  <c r="H113" i="5"/>
  <c r="H179" i="5"/>
  <c r="H26" i="5"/>
  <c r="H233" i="5"/>
  <c r="H189" i="5"/>
  <c r="H72" i="5"/>
  <c r="H314" i="5"/>
  <c r="H206" i="5"/>
  <c r="H166" i="5"/>
  <c r="H23" i="5"/>
  <c r="H13" i="5"/>
  <c r="H117" i="5"/>
  <c r="H68" i="5"/>
  <c r="H310" i="5"/>
  <c r="H280" i="5"/>
  <c r="H147" i="5"/>
  <c r="H221" i="5"/>
  <c r="H50" i="5"/>
  <c r="H244" i="5"/>
  <c r="H123" i="5"/>
  <c r="H180" i="5"/>
  <c r="H34" i="5"/>
  <c r="H177" i="5"/>
  <c r="H225" i="5"/>
  <c r="H289" i="5"/>
  <c r="H29" i="5"/>
  <c r="H16" i="5"/>
  <c r="H194" i="5"/>
  <c r="H6" i="5"/>
  <c r="H287" i="5"/>
  <c r="H190" i="5"/>
  <c r="H86" i="5"/>
  <c r="H226" i="5"/>
  <c r="H150" i="5"/>
  <c r="H198" i="5"/>
  <c r="H241" i="5"/>
  <c r="H293" i="5"/>
  <c r="H62" i="5"/>
  <c r="H220" i="5"/>
  <c r="H282" i="5"/>
  <c r="H146" i="5"/>
  <c r="H178" i="5"/>
  <c r="H300" i="5"/>
  <c r="H31" i="5"/>
  <c r="H278" i="5"/>
  <c r="H316" i="5"/>
  <c r="H240" i="5"/>
  <c r="H265" i="5"/>
  <c r="H153" i="5"/>
  <c r="H24" i="5"/>
  <c r="H83" i="5"/>
  <c r="H74" i="5"/>
  <c r="H10" i="5"/>
  <c r="H173" i="5"/>
  <c r="H188" i="5"/>
  <c r="H39" i="5"/>
  <c r="H81" i="5"/>
  <c r="H222" i="5"/>
  <c r="H149" i="5"/>
  <c r="H85" i="5"/>
  <c r="H41" i="5"/>
  <c r="H262" i="5"/>
  <c r="H174" i="5"/>
  <c r="H127" i="5"/>
  <c r="H114" i="5"/>
  <c r="H197" i="5"/>
  <c r="H160" i="5"/>
  <c r="H108" i="5"/>
  <c r="H119" i="5"/>
  <c r="H318" i="5"/>
  <c r="H129" i="5"/>
  <c r="H46" i="5"/>
  <c r="H254" i="5"/>
  <c r="H324" i="5"/>
  <c r="H322" i="5"/>
  <c r="H242" i="5"/>
  <c r="H211" i="5"/>
  <c r="H235" i="5"/>
  <c r="H164" i="5"/>
  <c r="H73" i="5"/>
  <c r="H291" i="5"/>
  <c r="H79" i="5"/>
  <c r="H251" i="5"/>
  <c r="H155" i="5"/>
  <c r="H128" i="5"/>
  <c r="H59" i="5"/>
  <c r="H93" i="5"/>
  <c r="H259" i="5"/>
  <c r="H239" i="5"/>
  <c r="H141" i="5"/>
  <c r="H54" i="5"/>
  <c r="H320" i="5"/>
  <c r="H302" i="5"/>
  <c r="H137" i="5"/>
  <c r="H99" i="5"/>
  <c r="H167" i="5"/>
  <c r="H200" i="5"/>
  <c r="H253" i="5"/>
  <c r="H101" i="5"/>
  <c r="H230" i="5"/>
  <c r="H140" i="5"/>
  <c r="H246" i="5"/>
  <c r="H87" i="5"/>
  <c r="H275" i="5"/>
  <c r="H264" i="5"/>
  <c r="H171" i="5"/>
  <c r="H33" i="5"/>
  <c r="H97" i="5"/>
  <c r="H67" i="5"/>
  <c r="H165" i="5"/>
  <c r="H2" i="5"/>
  <c r="H111" i="5"/>
  <c r="H168" i="5"/>
  <c r="H276" i="5"/>
  <c r="H229" i="5"/>
  <c r="H143" i="5"/>
  <c r="H255" i="5"/>
  <c r="H290" i="5"/>
  <c r="H317" i="5"/>
  <c r="H170" i="5"/>
  <c r="J241" i="5" l="1"/>
  <c r="J178" i="5"/>
  <c r="J112" i="5"/>
  <c r="J6" i="5"/>
  <c r="J229" i="5"/>
  <c r="J170" i="5"/>
  <c r="J20" i="5"/>
  <c r="J194" i="5"/>
  <c r="J55" i="5"/>
  <c r="J294" i="5"/>
  <c r="J218" i="5"/>
  <c r="J16" i="5"/>
  <c r="J32" i="5"/>
  <c r="J146" i="5"/>
  <c r="J268" i="5"/>
  <c r="J29" i="5"/>
  <c r="J198" i="5"/>
  <c r="J317" i="5"/>
  <c r="J157" i="5"/>
  <c r="J289" i="5"/>
  <c r="J150" i="5"/>
  <c r="J172" i="5"/>
  <c r="J305" i="5"/>
  <c r="J225" i="5"/>
  <c r="J226" i="5"/>
  <c r="J282" i="5"/>
  <c r="J37" i="5"/>
  <c r="J177" i="5"/>
  <c r="J276" i="5"/>
  <c r="J290" i="5"/>
  <c r="J35" i="5"/>
  <c r="J34" i="5"/>
  <c r="J86" i="5"/>
  <c r="J94" i="5"/>
  <c r="J51" i="5"/>
  <c r="J180" i="5"/>
  <c r="J190" i="5"/>
  <c r="J220" i="5"/>
  <c r="J71" i="5"/>
  <c r="J123" i="5"/>
  <c r="J168" i="5"/>
  <c r="J62" i="5"/>
  <c r="J30" i="5"/>
  <c r="J244" i="5"/>
  <c r="J287" i="5"/>
  <c r="J255" i="5"/>
  <c r="J135" i="5"/>
  <c r="J50" i="5"/>
  <c r="J111" i="5"/>
  <c r="J105" i="5"/>
  <c r="J64" i="5"/>
  <c r="J221" i="5"/>
  <c r="J2" i="5"/>
  <c r="J293" i="5"/>
  <c r="J315" i="5"/>
  <c r="J147" i="5"/>
  <c r="J165" i="5"/>
  <c r="J143" i="5"/>
  <c r="J203" i="5"/>
  <c r="J280" i="5"/>
  <c r="J67" i="5"/>
  <c r="J106" i="5"/>
  <c r="J277" i="5"/>
  <c r="J310" i="5"/>
  <c r="J97" i="5"/>
  <c r="J145" i="5"/>
  <c r="J19" i="5"/>
  <c r="J68" i="5"/>
  <c r="J33" i="5"/>
  <c r="J247" i="5"/>
  <c r="J90" i="5"/>
  <c r="J117" i="5"/>
  <c r="J171" i="5"/>
  <c r="J161" i="5"/>
  <c r="J208" i="5"/>
  <c r="J13" i="5"/>
  <c r="J264" i="5"/>
  <c r="J152" i="5"/>
  <c r="J28" i="5"/>
  <c r="J23" i="5"/>
  <c r="J275" i="5"/>
  <c r="J53" i="5"/>
  <c r="J136" i="5"/>
  <c r="J166" i="5"/>
  <c r="J87" i="5"/>
  <c r="J284" i="5"/>
  <c r="J272" i="5"/>
  <c r="J206" i="5"/>
  <c r="J246" i="5"/>
  <c r="J286" i="5"/>
  <c r="J15" i="5"/>
  <c r="J314" i="5"/>
  <c r="J140" i="5"/>
  <c r="J312" i="5"/>
  <c r="J25" i="5"/>
  <c r="J72" i="5"/>
  <c r="J230" i="5"/>
  <c r="J130" i="5"/>
  <c r="J283" i="5"/>
  <c r="J189" i="5"/>
  <c r="J101" i="5"/>
  <c r="J209" i="5"/>
  <c r="J75" i="5"/>
  <c r="J233" i="5"/>
  <c r="J253" i="5"/>
  <c r="J5" i="5"/>
  <c r="J323" i="5"/>
  <c r="J26" i="5"/>
  <c r="J200" i="5"/>
  <c r="J103" i="5"/>
  <c r="J126" i="5"/>
  <c r="J179" i="5"/>
  <c r="J167" i="5"/>
  <c r="J36" i="5"/>
  <c r="J115" i="5"/>
  <c r="J113" i="5"/>
  <c r="J99" i="5"/>
  <c r="J91" i="5"/>
  <c r="J98" i="5"/>
  <c r="J70" i="5"/>
  <c r="J137" i="5"/>
  <c r="J217" i="5"/>
  <c r="J234" i="5"/>
  <c r="J109" i="5"/>
  <c r="J302" i="5"/>
  <c r="J231" i="5"/>
  <c r="J21" i="5"/>
  <c r="J201" i="5"/>
  <c r="J320" i="5"/>
  <c r="J202" i="5"/>
  <c r="J96" i="5"/>
  <c r="J210" i="5"/>
  <c r="J54" i="5"/>
  <c r="J223" i="5"/>
  <c r="J232" i="5"/>
  <c r="J285" i="5"/>
  <c r="J141" i="5"/>
  <c r="J236" i="5"/>
  <c r="J8" i="5"/>
  <c r="J14" i="5"/>
  <c r="J239" i="5"/>
  <c r="J134" i="5"/>
  <c r="J110" i="5"/>
  <c r="J156" i="5"/>
  <c r="J259" i="5"/>
  <c r="J301" i="5"/>
  <c r="J76" i="5"/>
  <c r="J270" i="5"/>
  <c r="J93" i="5"/>
  <c r="J27" i="5"/>
  <c r="J249" i="5"/>
  <c r="J199" i="5"/>
  <c r="J59" i="5"/>
  <c r="J184" i="5"/>
  <c r="J7" i="5"/>
  <c r="J9" i="5"/>
  <c r="J128" i="5"/>
  <c r="J3" i="5"/>
  <c r="J214" i="5"/>
  <c r="J250" i="5"/>
  <c r="J155" i="5"/>
  <c r="J215" i="5"/>
  <c r="J299" i="5"/>
  <c r="J44" i="5"/>
  <c r="J251" i="5"/>
  <c r="J303" i="5"/>
  <c r="J66" i="5"/>
  <c r="J144" i="5"/>
  <c r="J79" i="5"/>
  <c r="J175" i="5"/>
  <c r="J88" i="5"/>
  <c r="J163" i="5"/>
  <c r="J291" i="5"/>
  <c r="J65" i="5"/>
  <c r="J121" i="5"/>
  <c r="J18" i="5"/>
  <c r="J73" i="5"/>
  <c r="J158" i="5"/>
  <c r="J120" i="5"/>
  <c r="J61" i="5"/>
  <c r="J164" i="5"/>
  <c r="J131" i="5"/>
  <c r="J274" i="5"/>
  <c r="J52" i="5"/>
  <c r="J235" i="5"/>
  <c r="J269" i="5"/>
  <c r="J162" i="5"/>
  <c r="J309" i="5"/>
  <c r="J211" i="5"/>
  <c r="J185" i="5"/>
  <c r="J273" i="5"/>
  <c r="J42" i="5"/>
  <c r="J242" i="5"/>
  <c r="J11" i="5"/>
  <c r="J271" i="5"/>
  <c r="J192" i="5"/>
  <c r="J322" i="5"/>
  <c r="J154" i="5"/>
  <c r="J181" i="5"/>
  <c r="J281" i="5"/>
  <c r="J324" i="5"/>
  <c r="J57" i="5"/>
  <c r="J205" i="5"/>
  <c r="J17" i="5"/>
  <c r="J254" i="5"/>
  <c r="J195" i="5"/>
  <c r="J102" i="5"/>
  <c r="J191" i="5"/>
  <c r="J46" i="5"/>
  <c r="J116" i="5"/>
  <c r="J104" i="5"/>
  <c r="J295" i="5"/>
  <c r="J129" i="5"/>
  <c r="J56" i="5"/>
  <c r="J224" i="5"/>
  <c r="J228" i="5"/>
  <c r="J318" i="5"/>
  <c r="J38" i="5"/>
  <c r="J204" i="5"/>
  <c r="J219" i="5"/>
  <c r="J119" i="5"/>
  <c r="J95" i="5"/>
  <c r="J256" i="5"/>
  <c r="J319" i="5"/>
  <c r="J108" i="5"/>
  <c r="J266" i="5"/>
  <c r="J159" i="5"/>
  <c r="J308" i="5"/>
  <c r="J160" i="5"/>
  <c r="J78" i="5"/>
  <c r="J267" i="5"/>
  <c r="J326" i="5"/>
  <c r="J197" i="5"/>
  <c r="J227" i="5"/>
  <c r="J58" i="5"/>
  <c r="J142" i="5"/>
  <c r="J114" i="5"/>
  <c r="J169" i="5"/>
  <c r="J80" i="5"/>
  <c r="J148" i="5"/>
  <c r="J127" i="5"/>
  <c r="J151" i="5"/>
  <c r="J48" i="5"/>
  <c r="J82" i="5"/>
  <c r="J174" i="5"/>
  <c r="J138" i="5"/>
  <c r="J257" i="5"/>
  <c r="J60" i="5"/>
  <c r="J262" i="5"/>
  <c r="J84" i="5"/>
  <c r="J89" i="5"/>
  <c r="J182" i="5"/>
  <c r="J41" i="5"/>
  <c r="J196" i="5"/>
  <c r="J258" i="5"/>
  <c r="J313" i="5"/>
  <c r="J85" i="5"/>
  <c r="J122" i="5"/>
  <c r="J100" i="5"/>
  <c r="J213" i="5"/>
  <c r="J149" i="5"/>
  <c r="J107" i="5"/>
  <c r="J69" i="5"/>
  <c r="J4" i="5"/>
  <c r="J222" i="5"/>
  <c r="J187" i="5"/>
  <c r="J261" i="5"/>
  <c r="J296" i="5"/>
  <c r="J81" i="5"/>
  <c r="J263" i="5"/>
  <c r="J279" i="5"/>
  <c r="J248" i="5"/>
  <c r="J39" i="5"/>
  <c r="J139" i="5"/>
  <c r="J237" i="5"/>
  <c r="J43" i="5"/>
  <c r="J188" i="5"/>
  <c r="J186" i="5"/>
  <c r="J92" i="5"/>
  <c r="J306" i="5"/>
  <c r="J173" i="5"/>
  <c r="J243" i="5"/>
  <c r="J212" i="5"/>
  <c r="J12" i="5"/>
  <c r="J10" i="5"/>
  <c r="K2" i="5" s="1"/>
  <c r="J325" i="5"/>
  <c r="J292" i="5"/>
  <c r="J193" i="5"/>
  <c r="J74" i="5"/>
  <c r="J238" i="5"/>
  <c r="J304" i="5"/>
  <c r="J133" i="5"/>
  <c r="J83" i="5"/>
  <c r="J77" i="5"/>
  <c r="J176" i="5"/>
  <c r="J63" i="5"/>
  <c r="J24" i="5"/>
  <c r="J124" i="5"/>
  <c r="J47" i="5"/>
  <c r="J321" i="5"/>
  <c r="J153" i="5"/>
  <c r="J260" i="5"/>
  <c r="J311" i="5"/>
  <c r="J118" i="5"/>
  <c r="J265" i="5"/>
  <c r="J252" i="5"/>
  <c r="J207" i="5"/>
  <c r="J245" i="5"/>
  <c r="J240" i="5"/>
  <c r="J288" i="5"/>
  <c r="J183" i="5"/>
  <c r="J132" i="5"/>
  <c r="J316" i="5"/>
  <c r="J298" i="5"/>
  <c r="J297" i="5"/>
  <c r="J125" i="5"/>
  <c r="J278" i="5"/>
  <c r="J216" i="5"/>
  <c r="J40" i="5"/>
  <c r="J49" i="5"/>
  <c r="J31" i="5"/>
  <c r="J307" i="5"/>
  <c r="J22" i="5"/>
  <c r="J45" i="5"/>
  <c r="J300" i="5"/>
  <c r="K137" i="5"/>
  <c r="K40" i="5"/>
  <c r="K200" i="5"/>
  <c r="K213" i="5"/>
  <c r="K198" i="5"/>
  <c r="K71" i="5"/>
  <c r="K67" i="5"/>
  <c r="K262" i="5"/>
  <c r="K63" i="5"/>
  <c r="K189" i="5"/>
  <c r="K19" i="5"/>
  <c r="K14" i="5"/>
  <c r="K192" i="5" l="1"/>
  <c r="K106" i="5"/>
  <c r="K202" i="5"/>
  <c r="K324" i="5"/>
  <c r="K72" i="5"/>
  <c r="K306" i="5"/>
  <c r="K224" i="5"/>
  <c r="K218" i="5"/>
  <c r="K233" i="5"/>
  <c r="K193" i="5"/>
  <c r="K260" i="5"/>
  <c r="K250" i="5"/>
  <c r="K323" i="5"/>
  <c r="K180" i="5"/>
  <c r="K34" i="5"/>
  <c r="K217" i="5"/>
  <c r="K124" i="5"/>
  <c r="K11" i="5"/>
  <c r="K166" i="5"/>
  <c r="K4" i="5"/>
  <c r="K285" i="5"/>
  <c r="K169" i="5"/>
  <c r="K171" i="5"/>
  <c r="K208" i="5"/>
  <c r="K280" i="5"/>
  <c r="K160" i="5"/>
  <c r="K261" i="5"/>
  <c r="K110" i="5"/>
  <c r="K258" i="5"/>
  <c r="K229" i="5"/>
  <c r="K265" i="5"/>
  <c r="K308" i="5"/>
  <c r="K211" i="5"/>
  <c r="K242" i="5"/>
  <c r="K135" i="5"/>
  <c r="K311" i="5"/>
  <c r="K267" i="5"/>
  <c r="K273" i="5"/>
  <c r="K102" i="5"/>
  <c r="L102" i="5" s="1"/>
  <c r="K225" i="5"/>
  <c r="O225" i="5" s="1"/>
  <c r="K21" i="5"/>
  <c r="M21" i="5" s="1"/>
  <c r="K290" i="5"/>
  <c r="K118" i="5"/>
  <c r="O118" i="5" s="1"/>
  <c r="K325" i="5"/>
  <c r="N325" i="5" s="1"/>
  <c r="K195" i="5"/>
  <c r="M195" i="5" s="1"/>
  <c r="K286" i="5"/>
  <c r="K320" i="5"/>
  <c r="M320" i="5" s="1"/>
  <c r="K104" i="5"/>
  <c r="M104" i="5" s="1"/>
  <c r="K50" i="5"/>
  <c r="O50" i="5" s="1"/>
  <c r="K251" i="5"/>
  <c r="K141" i="5"/>
  <c r="L141" i="5" s="1"/>
  <c r="K226" i="5"/>
  <c r="L226" i="5" s="1"/>
  <c r="K28" i="5"/>
  <c r="L28" i="5" s="1"/>
  <c r="K113" i="5"/>
  <c r="K201" i="5"/>
  <c r="L201" i="5" s="1"/>
  <c r="K317" i="5"/>
  <c r="L317" i="5" s="1"/>
  <c r="K57" i="5"/>
  <c r="O57" i="5" s="1"/>
  <c r="K227" i="5"/>
  <c r="K232" i="5"/>
  <c r="O232" i="5" s="1"/>
  <c r="K228" i="5"/>
  <c r="O228" i="5" s="1"/>
  <c r="K30" i="5"/>
  <c r="M30" i="5" s="1"/>
  <c r="K305" i="5"/>
  <c r="K68" i="5"/>
  <c r="M68" i="5" s="1"/>
  <c r="K248" i="5"/>
  <c r="N248" i="5" s="1"/>
  <c r="K96" i="5"/>
  <c r="M96" i="5" s="1"/>
  <c r="K3" i="5"/>
  <c r="K147" i="5"/>
  <c r="M147" i="5" s="1"/>
  <c r="K222" i="5"/>
  <c r="N222" i="5" s="1"/>
  <c r="K12" i="5"/>
  <c r="M12" i="5" s="1"/>
  <c r="K125" i="5"/>
  <c r="K158" i="5"/>
  <c r="L158" i="5" s="1"/>
  <c r="K187" i="5"/>
  <c r="L187" i="5" s="1"/>
  <c r="K103" i="5"/>
  <c r="O103" i="5" s="1"/>
  <c r="K131" i="5"/>
  <c r="K134" i="5"/>
  <c r="O134" i="5" s="1"/>
  <c r="K170" i="5"/>
  <c r="N170" i="5" s="1"/>
  <c r="K298" i="5"/>
  <c r="M298" i="5" s="1"/>
  <c r="K52" i="5"/>
  <c r="K38" i="5"/>
  <c r="N38" i="5" s="1"/>
  <c r="K31" i="5"/>
  <c r="M31" i="5" s="1"/>
  <c r="K270" i="5"/>
  <c r="L270" i="5" s="1"/>
  <c r="K51" i="5"/>
  <c r="K39" i="5"/>
  <c r="M39" i="5" s="1"/>
  <c r="K152" i="5"/>
  <c r="N152" i="5" s="1"/>
  <c r="K36" i="5"/>
  <c r="O36" i="5" s="1"/>
  <c r="K79" i="5"/>
  <c r="K154" i="5"/>
  <c r="O154" i="5" s="1"/>
  <c r="K89" i="5"/>
  <c r="M89" i="5" s="1"/>
  <c r="K130" i="5"/>
  <c r="M130" i="5" s="1"/>
  <c r="K238" i="5"/>
  <c r="K314" i="5"/>
  <c r="K173" i="5"/>
  <c r="K253" i="5"/>
  <c r="L253" i="5" s="1"/>
  <c r="K44" i="5"/>
  <c r="K162" i="5"/>
  <c r="K48" i="5"/>
  <c r="K295" i="5"/>
  <c r="L295" i="5" s="1"/>
  <c r="K91" i="5"/>
  <c r="K282" i="5"/>
  <c r="K326" i="5"/>
  <c r="K277" i="5"/>
  <c r="L277" i="5" s="1"/>
  <c r="K54" i="5"/>
  <c r="K296" i="5"/>
  <c r="K92" i="5"/>
  <c r="K49" i="5"/>
  <c r="L49" i="5" s="1"/>
  <c r="K183" i="5"/>
  <c r="K203" i="5"/>
  <c r="K27" i="5"/>
  <c r="K313" i="5"/>
  <c r="N313" i="5" s="1"/>
  <c r="K53" i="5"/>
  <c r="K300" i="5"/>
  <c r="K94" i="5"/>
  <c r="K319" i="5"/>
  <c r="O319" i="5" s="1"/>
  <c r="K159" i="5"/>
  <c r="K105" i="5"/>
  <c r="K266" i="5"/>
  <c r="K223" i="5"/>
  <c r="L223" i="5" s="1"/>
  <c r="K26" i="5"/>
  <c r="K45" i="5"/>
  <c r="K140" i="5"/>
  <c r="K235" i="5"/>
  <c r="M235" i="5" s="1"/>
  <c r="K315" i="5"/>
  <c r="K194" i="5"/>
  <c r="K145" i="5"/>
  <c r="K56" i="5"/>
  <c r="L56" i="5" s="1"/>
  <c r="K244" i="5"/>
  <c r="K259" i="5"/>
  <c r="K204" i="5"/>
  <c r="K209" i="5"/>
  <c r="N209" i="5" s="1"/>
  <c r="K278" i="5"/>
  <c r="K231" i="5"/>
  <c r="M231" i="5" s="1"/>
  <c r="K190" i="5"/>
  <c r="N190" i="5" s="1"/>
  <c r="K249" i="5"/>
  <c r="L249" i="5" s="1"/>
  <c r="K6" i="5"/>
  <c r="K167" i="5"/>
  <c r="M167" i="5" s="1"/>
  <c r="K237" i="5"/>
  <c r="O237" i="5" s="1"/>
  <c r="K292" i="5"/>
  <c r="L292" i="5" s="1"/>
  <c r="K20" i="5"/>
  <c r="K269" i="5"/>
  <c r="N269" i="5" s="1"/>
  <c r="K41" i="5"/>
  <c r="L41" i="5" s="1"/>
  <c r="K309" i="5"/>
  <c r="M309" i="5" s="1"/>
  <c r="K70" i="5"/>
  <c r="K271" i="5"/>
  <c r="M271" i="5" s="1"/>
  <c r="K111" i="5"/>
  <c r="O111" i="5" s="1"/>
  <c r="K81" i="5"/>
  <c r="O81" i="5" s="1"/>
  <c r="K196" i="5"/>
  <c r="K206" i="5"/>
  <c r="M206" i="5" s="1"/>
  <c r="K117" i="5"/>
  <c r="N117" i="5" s="1"/>
  <c r="K279" i="5"/>
  <c r="M279" i="5" s="1"/>
  <c r="K87" i="5"/>
  <c r="K291" i="5"/>
  <c r="O291" i="5" s="1"/>
  <c r="K128" i="5"/>
  <c r="L128" i="5" s="1"/>
  <c r="K161" i="5"/>
  <c r="O161" i="5" s="1"/>
  <c r="K240" i="5"/>
  <c r="K148" i="5"/>
  <c r="L148" i="5" s="1"/>
  <c r="K214" i="5"/>
  <c r="M214" i="5" s="1"/>
  <c r="K114" i="5"/>
  <c r="O114" i="5" s="1"/>
  <c r="K74" i="5"/>
  <c r="K43" i="5"/>
  <c r="M43" i="5" s="1"/>
  <c r="K23" i="5"/>
  <c r="L23" i="5" s="1"/>
  <c r="K153" i="5"/>
  <c r="N153" i="5" s="1"/>
  <c r="K207" i="5"/>
  <c r="K155" i="5"/>
  <c r="O155" i="5" s="1"/>
  <c r="K263" i="5"/>
  <c r="L263" i="5" s="1"/>
  <c r="K17" i="5"/>
  <c r="O17" i="5" s="1"/>
  <c r="K304" i="5"/>
  <c r="K83" i="5"/>
  <c r="L83" i="5" s="1"/>
  <c r="K219" i="5"/>
  <c r="L219" i="5" s="1"/>
  <c r="K255" i="5"/>
  <c r="L255" i="5" s="1"/>
  <c r="K24" i="5"/>
  <c r="K25" i="5"/>
  <c r="O25" i="5" s="1"/>
  <c r="K264" i="5"/>
  <c r="L264" i="5" s="1"/>
  <c r="K22" i="5"/>
  <c r="L22" i="5" s="1"/>
  <c r="K47" i="5"/>
  <c r="K216" i="5"/>
  <c r="L216" i="5" s="1"/>
  <c r="K35" i="5"/>
  <c r="O35" i="5" s="1"/>
  <c r="K7" i="5"/>
  <c r="O7" i="5" s="1"/>
  <c r="K98" i="5"/>
  <c r="K136" i="5"/>
  <c r="L136" i="5" s="1"/>
  <c r="K212" i="5"/>
  <c r="O212" i="5" s="1"/>
  <c r="K321" i="5"/>
  <c r="M321" i="5" s="1"/>
  <c r="K93" i="5"/>
  <c r="K85" i="5"/>
  <c r="O85" i="5" s="1"/>
  <c r="K150" i="5"/>
  <c r="N150" i="5" s="1"/>
  <c r="K122" i="5"/>
  <c r="M122" i="5" s="1"/>
  <c r="K157" i="5"/>
  <c r="K32" i="5"/>
  <c r="M32" i="5" s="1"/>
  <c r="K301" i="5"/>
  <c r="O301" i="5" s="1"/>
  <c r="K107" i="5"/>
  <c r="N107" i="5" s="1"/>
  <c r="K176" i="5"/>
  <c r="K76" i="5"/>
  <c r="L76" i="5" s="1"/>
  <c r="K15" i="5"/>
  <c r="M15" i="5" s="1"/>
  <c r="K119" i="5"/>
  <c r="L119" i="5" s="1"/>
  <c r="K69" i="5"/>
  <c r="K179" i="5"/>
  <c r="M179" i="5" s="1"/>
  <c r="K245" i="5"/>
  <c r="L245" i="5" s="1"/>
  <c r="K9" i="5"/>
  <c r="L9" i="5" s="1"/>
  <c r="K284" i="5"/>
  <c r="K86" i="5"/>
  <c r="L86" i="5" s="1"/>
  <c r="K303" i="5"/>
  <c r="L303" i="5" s="1"/>
  <c r="K143" i="5"/>
  <c r="L143" i="5" s="1"/>
  <c r="K97" i="5"/>
  <c r="K234" i="5"/>
  <c r="O234" i="5" s="1"/>
  <c r="K120" i="5"/>
  <c r="M120" i="5" s="1"/>
  <c r="K181" i="5"/>
  <c r="M181" i="5" s="1"/>
  <c r="K16" i="5"/>
  <c r="K108" i="5"/>
  <c r="M108" i="5" s="1"/>
  <c r="K307" i="5"/>
  <c r="O307" i="5" s="1"/>
  <c r="K144" i="5"/>
  <c r="O144" i="5" s="1"/>
  <c r="K129" i="5"/>
  <c r="K302" i="5"/>
  <c r="M302" i="5" s="1"/>
  <c r="K164" i="5"/>
  <c r="O164" i="5" s="1"/>
  <c r="K230" i="5"/>
  <c r="O230" i="5" s="1"/>
  <c r="K197" i="5"/>
  <c r="K90" i="5"/>
  <c r="L90" i="5" s="1"/>
  <c r="K133" i="5"/>
  <c r="M133" i="5" s="1"/>
  <c r="K55" i="5"/>
  <c r="O55" i="5" s="1"/>
  <c r="K275" i="5"/>
  <c r="K132" i="5"/>
  <c r="N132" i="5" s="1"/>
  <c r="K254" i="5"/>
  <c r="L254" i="5" s="1"/>
  <c r="K33" i="5"/>
  <c r="M33" i="5" s="1"/>
  <c r="K281" i="5"/>
  <c r="K287" i="5"/>
  <c r="O287" i="5" s="1"/>
  <c r="K66" i="5"/>
  <c r="L66" i="5" s="1"/>
  <c r="K163" i="5"/>
  <c r="M163" i="5" s="1"/>
  <c r="K252" i="5"/>
  <c r="K64" i="5"/>
  <c r="O64" i="5" s="1"/>
  <c r="K121" i="5"/>
  <c r="L121" i="5" s="1"/>
  <c r="K177" i="5"/>
  <c r="M177" i="5" s="1"/>
  <c r="K142" i="5"/>
  <c r="K178" i="5"/>
  <c r="L178" i="5" s="1"/>
  <c r="K123" i="5"/>
  <c r="M123" i="5" s="1"/>
  <c r="K297" i="5"/>
  <c r="M297" i="5" s="1"/>
  <c r="K256" i="5"/>
  <c r="K99" i="5"/>
  <c r="N99" i="5" s="1"/>
  <c r="K149" i="5"/>
  <c r="N149" i="5" s="1"/>
  <c r="K247" i="5"/>
  <c r="M247" i="5" s="1"/>
  <c r="K127" i="5"/>
  <c r="K78" i="5"/>
  <c r="N78" i="5" s="1"/>
  <c r="K29" i="5"/>
  <c r="L29" i="5" s="1"/>
  <c r="K205" i="5"/>
  <c r="L205" i="5" s="1"/>
  <c r="K151" i="5"/>
  <c r="K84" i="5"/>
  <c r="M84" i="5" s="1"/>
  <c r="K46" i="5"/>
  <c r="L46" i="5" s="1"/>
  <c r="K58" i="5"/>
  <c r="L58" i="5" s="1"/>
  <c r="K268" i="5"/>
  <c r="K191" i="5"/>
  <c r="O191" i="5" s="1"/>
  <c r="K112" i="5"/>
  <c r="L112" i="5" s="1"/>
  <c r="K165" i="5"/>
  <c r="L165" i="5" s="1"/>
  <c r="K73" i="5"/>
  <c r="K88" i="5"/>
  <c r="L88" i="5" s="1"/>
  <c r="K288" i="5"/>
  <c r="L288" i="5" s="1"/>
  <c r="K276" i="5"/>
  <c r="L276" i="5" s="1"/>
  <c r="K59" i="5"/>
  <c r="K257" i="5"/>
  <c r="K75" i="5"/>
  <c r="M75" i="5" s="1"/>
  <c r="K156" i="5"/>
  <c r="L156" i="5" s="1"/>
  <c r="K215" i="5"/>
  <c r="K299" i="5"/>
  <c r="K65" i="5"/>
  <c r="L65" i="5" s="1"/>
  <c r="K77" i="5"/>
  <c r="L77" i="5" s="1"/>
  <c r="K100" i="5"/>
  <c r="K274" i="5"/>
  <c r="K312" i="5"/>
  <c r="O312" i="5" s="1"/>
  <c r="K5" i="5"/>
  <c r="L5" i="5" s="1"/>
  <c r="K62" i="5"/>
  <c r="K239" i="5"/>
  <c r="K293" i="5"/>
  <c r="K186" i="5"/>
  <c r="N186" i="5" s="1"/>
  <c r="K138" i="5"/>
  <c r="K174" i="5"/>
  <c r="K322" i="5"/>
  <c r="O322" i="5" s="1"/>
  <c r="K184" i="5"/>
  <c r="O184" i="5" s="1"/>
  <c r="K115" i="5"/>
  <c r="K168" i="5"/>
  <c r="K146" i="5"/>
  <c r="O146" i="5" s="1"/>
  <c r="K61" i="5"/>
  <c r="N61" i="5" s="1"/>
  <c r="K80" i="5"/>
  <c r="K272" i="5"/>
  <c r="K8" i="5"/>
  <c r="O8" i="5" s="1"/>
  <c r="K294" i="5"/>
  <c r="M294" i="5" s="1"/>
  <c r="K60" i="5"/>
  <c r="K221" i="5"/>
  <c r="K289" i="5"/>
  <c r="K139" i="5"/>
  <c r="O139" i="5" s="1"/>
  <c r="K310" i="5"/>
  <c r="K199" i="5"/>
  <c r="K220" i="5"/>
  <c r="L220" i="5" s="1"/>
  <c r="K185" i="5"/>
  <c r="O185" i="5" s="1"/>
  <c r="K241" i="5"/>
  <c r="M241" i="5" s="1"/>
  <c r="K172" i="5"/>
  <c r="K188" i="5"/>
  <c r="M188" i="5" s="1"/>
  <c r="K95" i="5"/>
  <c r="L95" i="5" s="1"/>
  <c r="K13" i="5"/>
  <c r="N13" i="5" s="1"/>
  <c r="K42" i="5"/>
  <c r="K246" i="5"/>
  <c r="N246" i="5" s="1"/>
  <c r="K243" i="5"/>
  <c r="L243" i="5" s="1"/>
  <c r="K126" i="5"/>
  <c r="L126" i="5" s="1"/>
  <c r="K236" i="5"/>
  <c r="K283" i="5"/>
  <c r="K116" i="5"/>
  <c r="L116" i="5" s="1"/>
  <c r="K182" i="5"/>
  <c r="M182" i="5" s="1"/>
  <c r="K175" i="5"/>
  <c r="K210" i="5"/>
  <c r="M210" i="5" s="1"/>
  <c r="K18" i="5"/>
  <c r="L18" i="5" s="1"/>
  <c r="K109" i="5"/>
  <c r="O109" i="5" s="1"/>
  <c r="K318" i="5"/>
  <c r="K316" i="5"/>
  <c r="O316" i="5" s="1"/>
  <c r="K82" i="5"/>
  <c r="M82" i="5" s="1"/>
  <c r="K101" i="5"/>
  <c r="N101" i="5" s="1"/>
  <c r="K37" i="5"/>
  <c r="K10" i="5"/>
  <c r="L10" i="5" s="1"/>
  <c r="O238" i="5"/>
  <c r="M238" i="5"/>
  <c r="L238" i="5"/>
  <c r="N238" i="5"/>
  <c r="N323" i="5"/>
  <c r="L323" i="5"/>
  <c r="M323" i="5"/>
  <c r="O323" i="5"/>
  <c r="O160" i="5"/>
  <c r="L160" i="5"/>
  <c r="M160" i="5"/>
  <c r="N160" i="5"/>
  <c r="N173" i="5"/>
  <c r="O173" i="5"/>
  <c r="N14" i="5"/>
  <c r="M14" i="5"/>
  <c r="L14" i="5"/>
  <c r="O14" i="5"/>
  <c r="O253" i="5"/>
  <c r="M253" i="5"/>
  <c r="N253" i="5"/>
  <c r="M192" i="5"/>
  <c r="N192" i="5"/>
  <c r="L192" i="5"/>
  <c r="O192" i="5"/>
  <c r="N44" i="5"/>
  <c r="M44" i="5"/>
  <c r="O44" i="5"/>
  <c r="L44" i="5"/>
  <c r="O180" i="5"/>
  <c r="M180" i="5"/>
  <c r="L180" i="5"/>
  <c r="N180" i="5"/>
  <c r="M261" i="5"/>
  <c r="L261" i="5"/>
  <c r="N261" i="5"/>
  <c r="O261" i="5"/>
  <c r="L48" i="5"/>
  <c r="N19" i="5"/>
  <c r="L19" i="5"/>
  <c r="M19" i="5"/>
  <c r="O19" i="5"/>
  <c r="N295" i="5"/>
  <c r="M295" i="5"/>
  <c r="O295" i="5"/>
  <c r="O106" i="5"/>
  <c r="L106" i="5"/>
  <c r="M106" i="5"/>
  <c r="N106" i="5"/>
  <c r="O91" i="5"/>
  <c r="M91" i="5"/>
  <c r="N91" i="5"/>
  <c r="L91" i="5"/>
  <c r="N34" i="5"/>
  <c r="M34" i="5"/>
  <c r="O34" i="5"/>
  <c r="L34" i="5"/>
  <c r="N282" i="5"/>
  <c r="O110" i="5"/>
  <c r="L110" i="5"/>
  <c r="N110" i="5"/>
  <c r="M110" i="5"/>
  <c r="O189" i="5"/>
  <c r="N189" i="5"/>
  <c r="M189" i="5"/>
  <c r="L189" i="5"/>
  <c r="N277" i="5"/>
  <c r="M277" i="5"/>
  <c r="O277" i="5"/>
  <c r="L202" i="5"/>
  <c r="N202" i="5"/>
  <c r="M202" i="5"/>
  <c r="O202" i="5"/>
  <c r="O54" i="5"/>
  <c r="N54" i="5"/>
  <c r="L54" i="5"/>
  <c r="M54" i="5"/>
  <c r="O217" i="5"/>
  <c r="M217" i="5"/>
  <c r="L217" i="5"/>
  <c r="N217" i="5"/>
  <c r="M296" i="5"/>
  <c r="N258" i="5"/>
  <c r="L258" i="5"/>
  <c r="M258" i="5"/>
  <c r="O258" i="5"/>
  <c r="N92" i="5"/>
  <c r="O63" i="5"/>
  <c r="L63" i="5"/>
  <c r="M63" i="5"/>
  <c r="N63" i="5"/>
  <c r="O49" i="5"/>
  <c r="M49" i="5"/>
  <c r="N49" i="5"/>
  <c r="O324" i="5"/>
  <c r="L324" i="5"/>
  <c r="M324" i="5"/>
  <c r="N324" i="5"/>
  <c r="N183" i="5"/>
  <c r="M183" i="5"/>
  <c r="O183" i="5"/>
  <c r="L183" i="5"/>
  <c r="O124" i="5"/>
  <c r="N124" i="5"/>
  <c r="L124" i="5"/>
  <c r="M124" i="5"/>
  <c r="N229" i="5"/>
  <c r="L229" i="5"/>
  <c r="M229" i="5"/>
  <c r="O229" i="5"/>
  <c r="L27" i="5"/>
  <c r="O27" i="5"/>
  <c r="L262" i="5"/>
  <c r="N262" i="5"/>
  <c r="O262" i="5"/>
  <c r="M262" i="5"/>
  <c r="O313" i="5"/>
  <c r="L313" i="5"/>
  <c r="M313" i="5"/>
  <c r="O72" i="5"/>
  <c r="L72" i="5"/>
  <c r="M72" i="5"/>
  <c r="N72" i="5"/>
  <c r="O53" i="5"/>
  <c r="M53" i="5"/>
  <c r="L53" i="5"/>
  <c r="N53" i="5"/>
  <c r="N11" i="5"/>
  <c r="M11" i="5"/>
  <c r="O11" i="5"/>
  <c r="L11" i="5"/>
  <c r="N265" i="5"/>
  <c r="L265" i="5"/>
  <c r="O265" i="5"/>
  <c r="M265" i="5"/>
  <c r="N94" i="5"/>
  <c r="N67" i="5"/>
  <c r="O67" i="5"/>
  <c r="M67" i="5"/>
  <c r="L67" i="5"/>
  <c r="L319" i="5"/>
  <c r="M319" i="5"/>
  <c r="N319" i="5"/>
  <c r="O306" i="5"/>
  <c r="M306" i="5"/>
  <c r="L306" i="5"/>
  <c r="N306" i="5"/>
  <c r="O159" i="5"/>
  <c r="N159" i="5"/>
  <c r="M159" i="5"/>
  <c r="L159" i="5"/>
  <c r="O166" i="5"/>
  <c r="L166" i="5"/>
  <c r="M166" i="5"/>
  <c r="N166" i="5"/>
  <c r="L105" i="5"/>
  <c r="M308" i="5"/>
  <c r="O308" i="5"/>
  <c r="L308" i="5"/>
  <c r="N308" i="5"/>
  <c r="N71" i="5"/>
  <c r="O71" i="5"/>
  <c r="M71" i="5"/>
  <c r="L71" i="5"/>
  <c r="M223" i="5"/>
  <c r="N223" i="5"/>
  <c r="O223" i="5"/>
  <c r="O224" i="5"/>
  <c r="M224" i="5"/>
  <c r="N224" i="5"/>
  <c r="L224" i="5"/>
  <c r="N26" i="5"/>
  <c r="M26" i="5"/>
  <c r="O26" i="5"/>
  <c r="L26" i="5"/>
  <c r="N4" i="5"/>
  <c r="L4" i="5"/>
  <c r="M4" i="5"/>
  <c r="O4" i="5"/>
  <c r="N45" i="5"/>
  <c r="N211" i="5"/>
  <c r="M211" i="5"/>
  <c r="O211" i="5"/>
  <c r="L211" i="5"/>
  <c r="M140" i="5"/>
  <c r="L198" i="5"/>
  <c r="O198" i="5"/>
  <c r="N198" i="5"/>
  <c r="M198" i="5"/>
  <c r="N235" i="5"/>
  <c r="O235" i="5"/>
  <c r="L235" i="5"/>
  <c r="N218" i="5"/>
  <c r="O218" i="5"/>
  <c r="L218" i="5"/>
  <c r="M218" i="5"/>
  <c r="O315" i="5"/>
  <c r="N315" i="5"/>
  <c r="L315" i="5"/>
  <c r="M315" i="5"/>
  <c r="O285" i="5"/>
  <c r="N285" i="5"/>
  <c r="L285" i="5"/>
  <c r="M285" i="5"/>
  <c r="N242" i="5"/>
  <c r="O242" i="5"/>
  <c r="M242" i="5"/>
  <c r="L242" i="5"/>
  <c r="O145" i="5"/>
  <c r="L145" i="5"/>
  <c r="N213" i="5"/>
  <c r="M213" i="5"/>
  <c r="O213" i="5"/>
  <c r="L213" i="5"/>
  <c r="N56" i="5"/>
  <c r="M56" i="5"/>
  <c r="O56" i="5"/>
  <c r="N233" i="5"/>
  <c r="M233" i="5"/>
  <c r="O233" i="5"/>
  <c r="L233" i="5"/>
  <c r="O244" i="5"/>
  <c r="L244" i="5"/>
  <c r="M244" i="5"/>
  <c r="N244" i="5"/>
  <c r="N169" i="5"/>
  <c r="M169" i="5"/>
  <c r="O169" i="5"/>
  <c r="L169" i="5"/>
  <c r="O135" i="5"/>
  <c r="L135" i="5"/>
  <c r="N135" i="5"/>
  <c r="M135" i="5"/>
  <c r="L204" i="5"/>
  <c r="N200" i="5"/>
  <c r="L200" i="5"/>
  <c r="O200" i="5"/>
  <c r="M200" i="5"/>
  <c r="O37" i="5"/>
  <c r="M101" i="5"/>
  <c r="L101" i="5"/>
  <c r="N82" i="5"/>
  <c r="O82" i="5"/>
  <c r="M316" i="5"/>
  <c r="N109" i="5"/>
  <c r="M109" i="5"/>
  <c r="N18" i="5"/>
  <c r="O18" i="5"/>
  <c r="M18" i="5"/>
  <c r="N182" i="5"/>
  <c r="O182" i="5"/>
  <c r="N116" i="5"/>
  <c r="M116" i="5"/>
  <c r="O116" i="5"/>
  <c r="M236" i="5"/>
  <c r="O126" i="5"/>
  <c r="N126" i="5"/>
  <c r="M126" i="5"/>
  <c r="O243" i="5"/>
  <c r="M243" i="5"/>
  <c r="N243" i="5"/>
  <c r="M42" i="5"/>
  <c r="L13" i="5"/>
  <c r="O13" i="5"/>
  <c r="M13" i="5"/>
  <c r="N95" i="5"/>
  <c r="M95" i="5"/>
  <c r="O95" i="5"/>
  <c r="L241" i="5"/>
  <c r="N241" i="5"/>
  <c r="O241" i="5"/>
  <c r="M185" i="5"/>
  <c r="L185" i="5"/>
  <c r="N185" i="5"/>
  <c r="N310" i="5"/>
  <c r="O310" i="5"/>
  <c r="M310" i="5"/>
  <c r="L310" i="5"/>
  <c r="N139" i="5"/>
  <c r="M139" i="5"/>
  <c r="L139" i="5"/>
  <c r="L221" i="5"/>
  <c r="M60" i="5"/>
  <c r="O60" i="5"/>
  <c r="N60" i="5"/>
  <c r="L60" i="5"/>
  <c r="N294" i="5"/>
  <c r="L294" i="5"/>
  <c r="O294" i="5"/>
  <c r="M272" i="5"/>
  <c r="O80" i="5"/>
  <c r="N80" i="5"/>
  <c r="M80" i="5"/>
  <c r="L80" i="5"/>
  <c r="M61" i="5"/>
  <c r="L61" i="5"/>
  <c r="O61" i="5"/>
  <c r="L146" i="5"/>
  <c r="M115" i="5"/>
  <c r="O115" i="5"/>
  <c r="N115" i="5"/>
  <c r="L115" i="5"/>
  <c r="N184" i="5"/>
  <c r="M184" i="5"/>
  <c r="L184" i="5"/>
  <c r="O138" i="5"/>
  <c r="L138" i="5"/>
  <c r="N138" i="5"/>
  <c r="M138" i="5"/>
  <c r="L186" i="5"/>
  <c r="M186" i="5"/>
  <c r="O186" i="5"/>
  <c r="M239" i="5"/>
  <c r="O62" i="5"/>
  <c r="L62" i="5"/>
  <c r="M62" i="5"/>
  <c r="N62" i="5"/>
  <c r="N5" i="5"/>
  <c r="O5" i="5"/>
  <c r="M5" i="5"/>
  <c r="O274" i="5"/>
  <c r="O100" i="5"/>
  <c r="L100" i="5"/>
  <c r="M100" i="5"/>
  <c r="N100" i="5"/>
  <c r="N77" i="5"/>
  <c r="O77" i="5"/>
  <c r="M77" i="5"/>
  <c r="O215" i="5"/>
  <c r="L215" i="5"/>
  <c r="N215" i="5"/>
  <c r="M215" i="5"/>
  <c r="N156" i="5"/>
  <c r="M156" i="5"/>
  <c r="O156" i="5"/>
  <c r="N59" i="5"/>
  <c r="L59" i="5"/>
  <c r="M59" i="5"/>
  <c r="O59" i="5"/>
  <c r="O276" i="5"/>
  <c r="N276" i="5"/>
  <c r="M276" i="5"/>
  <c r="N73" i="5"/>
  <c r="L73" i="5"/>
  <c r="M73" i="5"/>
  <c r="O73" i="5"/>
  <c r="O165" i="5"/>
  <c r="M165" i="5"/>
  <c r="N165" i="5"/>
  <c r="O112" i="5"/>
  <c r="N191" i="5"/>
  <c r="M268" i="5"/>
  <c r="L268" i="5"/>
  <c r="O268" i="5"/>
  <c r="N268" i="5"/>
  <c r="N58" i="5"/>
  <c r="O58" i="5"/>
  <c r="M58" i="5"/>
  <c r="N84" i="5"/>
  <c r="M151" i="5"/>
  <c r="N151" i="5"/>
  <c r="L151" i="5"/>
  <c r="O151" i="5"/>
  <c r="N205" i="5"/>
  <c r="O205" i="5"/>
  <c r="M205" i="5"/>
  <c r="M78" i="5"/>
  <c r="O127" i="5"/>
  <c r="L127" i="5"/>
  <c r="M127" i="5"/>
  <c r="N127" i="5"/>
  <c r="N247" i="5"/>
  <c r="L247" i="5"/>
  <c r="O247" i="5"/>
  <c r="L149" i="5"/>
  <c r="N256" i="5"/>
  <c r="L256" i="5"/>
  <c r="M256" i="5"/>
  <c r="O256" i="5"/>
  <c r="N297" i="5"/>
  <c r="O297" i="5"/>
  <c r="L297" i="5"/>
  <c r="N123" i="5"/>
  <c r="N178" i="5"/>
  <c r="L142" i="5"/>
  <c r="O142" i="5"/>
  <c r="M142" i="5"/>
  <c r="N142" i="5"/>
  <c r="O177" i="5"/>
  <c r="N177" i="5"/>
  <c r="L177" i="5"/>
  <c r="M102" i="5"/>
  <c r="N309" i="5"/>
  <c r="O309" i="5"/>
  <c r="L309" i="5"/>
  <c r="L225" i="5"/>
  <c r="O70" i="5"/>
  <c r="L70" i="5"/>
  <c r="N70" i="5"/>
  <c r="M70" i="5"/>
  <c r="N21" i="5"/>
  <c r="O21" i="5"/>
  <c r="L21" i="5"/>
  <c r="L271" i="5"/>
  <c r="N290" i="5"/>
  <c r="L290" i="5"/>
  <c r="M290" i="5"/>
  <c r="O290" i="5"/>
  <c r="L111" i="5"/>
  <c r="L81" i="5"/>
  <c r="M81" i="5"/>
  <c r="N81" i="5"/>
  <c r="M325" i="5"/>
  <c r="L325" i="5"/>
  <c r="N196" i="5"/>
  <c r="L196" i="5"/>
  <c r="M196" i="5"/>
  <c r="O196" i="5"/>
  <c r="N195" i="5"/>
  <c r="O195" i="5"/>
  <c r="L195" i="5"/>
  <c r="L286" i="5"/>
  <c r="O286" i="5"/>
  <c r="N286" i="5"/>
  <c r="M286" i="5"/>
  <c r="O117" i="5"/>
  <c r="L117" i="5"/>
  <c r="O320" i="5"/>
  <c r="N279" i="5"/>
  <c r="L279" i="5"/>
  <c r="O279" i="5"/>
  <c r="L104" i="5"/>
  <c r="O87" i="5"/>
  <c r="L87" i="5"/>
  <c r="N87" i="5"/>
  <c r="M87" i="5"/>
  <c r="N50" i="5"/>
  <c r="M50" i="5"/>
  <c r="L50" i="5"/>
  <c r="N291" i="5"/>
  <c r="M251" i="5"/>
  <c r="L251" i="5"/>
  <c r="O251" i="5"/>
  <c r="N251" i="5"/>
  <c r="M128" i="5"/>
  <c r="L161" i="5"/>
  <c r="N161" i="5"/>
  <c r="M161" i="5"/>
  <c r="O226" i="5"/>
  <c r="N226" i="5"/>
  <c r="N240" i="5"/>
  <c r="O240" i="5"/>
  <c r="M240" i="5"/>
  <c r="L240" i="5"/>
  <c r="N28" i="5"/>
  <c r="O28" i="5"/>
  <c r="M28" i="5"/>
  <c r="M113" i="5"/>
  <c r="O113" i="5"/>
  <c r="L113" i="5"/>
  <c r="N113" i="5"/>
  <c r="N214" i="5"/>
  <c r="O214" i="5"/>
  <c r="N201" i="5"/>
  <c r="L114" i="5"/>
  <c r="M114" i="5"/>
  <c r="N114" i="5"/>
  <c r="M317" i="5"/>
  <c r="N74" i="5"/>
  <c r="L74" i="5"/>
  <c r="O74" i="5"/>
  <c r="M74" i="5"/>
  <c r="M57" i="5"/>
  <c r="L57" i="5"/>
  <c r="N57" i="5"/>
  <c r="O43" i="5"/>
  <c r="M227" i="5"/>
  <c r="L227" i="5"/>
  <c r="O227" i="5"/>
  <c r="N227" i="5"/>
  <c r="O23" i="5"/>
  <c r="O153" i="5"/>
  <c r="M153" i="5"/>
  <c r="L153" i="5"/>
  <c r="N228" i="5"/>
  <c r="M228" i="5"/>
  <c r="M207" i="5"/>
  <c r="L207" i="5"/>
  <c r="N207" i="5"/>
  <c r="O207" i="5"/>
  <c r="N30" i="5"/>
  <c r="L30" i="5"/>
  <c r="O30" i="5"/>
  <c r="L305" i="5"/>
  <c r="N305" i="5"/>
  <c r="O305" i="5"/>
  <c r="M305" i="5"/>
  <c r="N263" i="5"/>
  <c r="O263" i="5"/>
  <c r="N68" i="5"/>
  <c r="N17" i="5"/>
  <c r="L17" i="5"/>
  <c r="M17" i="5"/>
  <c r="O248" i="5"/>
  <c r="O304" i="5"/>
  <c r="N304" i="5"/>
  <c r="L304" i="5"/>
  <c r="M304" i="5"/>
  <c r="O96" i="5"/>
  <c r="L96" i="5"/>
  <c r="N96" i="5"/>
  <c r="M83" i="5"/>
  <c r="N3" i="5"/>
  <c r="O3" i="5"/>
  <c r="L3" i="5"/>
  <c r="M3" i="5"/>
  <c r="N255" i="5"/>
  <c r="M255" i="5"/>
  <c r="O255" i="5"/>
  <c r="M222" i="5"/>
  <c r="L222" i="5"/>
  <c r="N24" i="5"/>
  <c r="L24" i="5"/>
  <c r="O24" i="5"/>
  <c r="M24" i="5"/>
  <c r="N12" i="5"/>
  <c r="L12" i="5"/>
  <c r="O12" i="5"/>
  <c r="M125" i="5"/>
  <c r="L125" i="5"/>
  <c r="N125" i="5"/>
  <c r="O125" i="5"/>
  <c r="O264" i="5"/>
  <c r="O158" i="5"/>
  <c r="N22" i="5"/>
  <c r="M22" i="5"/>
  <c r="O22" i="5"/>
  <c r="N187" i="5"/>
  <c r="O47" i="5"/>
  <c r="L47" i="5"/>
  <c r="N47" i="5"/>
  <c r="M47" i="5"/>
  <c r="M103" i="5"/>
  <c r="N103" i="5"/>
  <c r="L103" i="5"/>
  <c r="M216" i="5"/>
  <c r="N131" i="5"/>
  <c r="M131" i="5"/>
  <c r="O131" i="5"/>
  <c r="L131" i="5"/>
  <c r="N7" i="5"/>
  <c r="M7" i="5"/>
  <c r="L7" i="5"/>
  <c r="M170" i="5"/>
  <c r="O170" i="5"/>
  <c r="N98" i="5"/>
  <c r="M98" i="5"/>
  <c r="O98" i="5"/>
  <c r="L98" i="5"/>
  <c r="O298" i="5"/>
  <c r="N298" i="5"/>
  <c r="L298" i="5"/>
  <c r="O209" i="5"/>
  <c r="L209" i="5"/>
  <c r="M209" i="5"/>
  <c r="M52" i="5"/>
  <c r="O52" i="5"/>
  <c r="L52" i="5"/>
  <c r="N52" i="5"/>
  <c r="O193" i="5"/>
  <c r="N193" i="5"/>
  <c r="M193" i="5"/>
  <c r="L193" i="5"/>
  <c r="M212" i="5"/>
  <c r="N278" i="5"/>
  <c r="L278" i="5"/>
  <c r="M278" i="5"/>
  <c r="O278" i="5"/>
  <c r="M38" i="5"/>
  <c r="N171" i="5"/>
  <c r="M171" i="5"/>
  <c r="L171" i="5"/>
  <c r="O171" i="5"/>
  <c r="N321" i="5"/>
  <c r="L321" i="5"/>
  <c r="O321" i="5"/>
  <c r="N231" i="5"/>
  <c r="O76" i="5"/>
  <c r="O31" i="5"/>
  <c r="N311" i="5"/>
  <c r="M311" i="5"/>
  <c r="L311" i="5"/>
  <c r="O311" i="5"/>
  <c r="N119" i="5"/>
  <c r="O119" i="5"/>
  <c r="M119" i="5"/>
  <c r="N93" i="5"/>
  <c r="O93" i="5"/>
  <c r="M93" i="5"/>
  <c r="L93" i="5"/>
  <c r="O69" i="5"/>
  <c r="L69" i="5"/>
  <c r="M69" i="5"/>
  <c r="N69" i="5"/>
  <c r="L190" i="5"/>
  <c r="M190" i="5"/>
  <c r="L179" i="5"/>
  <c r="N270" i="5"/>
  <c r="O270" i="5"/>
  <c r="M270" i="5"/>
  <c r="O245" i="5"/>
  <c r="O40" i="5"/>
  <c r="L40" i="5"/>
  <c r="M40" i="5"/>
  <c r="N40" i="5"/>
  <c r="N9" i="5"/>
  <c r="M9" i="5"/>
  <c r="O9" i="5"/>
  <c r="M85" i="5"/>
  <c r="O284" i="5"/>
  <c r="M284" i="5"/>
  <c r="L284" i="5"/>
  <c r="N284" i="5"/>
  <c r="N249" i="5"/>
  <c r="O249" i="5"/>
  <c r="M249" i="5"/>
  <c r="N86" i="5"/>
  <c r="O51" i="5"/>
  <c r="L51" i="5"/>
  <c r="N51" i="5"/>
  <c r="M51" i="5"/>
  <c r="N260" i="5"/>
  <c r="L260" i="5"/>
  <c r="O260" i="5"/>
  <c r="M260" i="5"/>
  <c r="N143" i="5"/>
  <c r="O143" i="5"/>
  <c r="M143" i="5"/>
  <c r="L97" i="5"/>
  <c r="M97" i="5"/>
  <c r="N97" i="5"/>
  <c r="O97" i="5"/>
  <c r="N6" i="5"/>
  <c r="M6" i="5"/>
  <c r="L6" i="5"/>
  <c r="O6" i="5"/>
  <c r="N234" i="5"/>
  <c r="L39" i="5"/>
  <c r="O208" i="5"/>
  <c r="N208" i="5"/>
  <c r="L208" i="5"/>
  <c r="M208" i="5"/>
  <c r="L181" i="5"/>
  <c r="O181" i="5"/>
  <c r="N181" i="5"/>
  <c r="N122" i="5"/>
  <c r="L122" i="5"/>
  <c r="O122" i="5"/>
  <c r="N16" i="5"/>
  <c r="L16" i="5"/>
  <c r="M16" i="5"/>
  <c r="O16" i="5"/>
  <c r="L167" i="5"/>
  <c r="O108" i="5"/>
  <c r="O152" i="5"/>
  <c r="N307" i="5"/>
  <c r="N267" i="5"/>
  <c r="M267" i="5"/>
  <c r="L267" i="5"/>
  <c r="O267" i="5"/>
  <c r="N144" i="5"/>
  <c r="L144" i="5"/>
  <c r="M144" i="5"/>
  <c r="N157" i="5"/>
  <c r="M157" i="5"/>
  <c r="O157" i="5"/>
  <c r="L157" i="5"/>
  <c r="N129" i="5"/>
  <c r="L129" i="5"/>
  <c r="M129" i="5"/>
  <c r="O129" i="5"/>
  <c r="L237" i="5"/>
  <c r="N36" i="5"/>
  <c r="M36" i="5"/>
  <c r="L36" i="5"/>
  <c r="N137" i="5"/>
  <c r="M137" i="5"/>
  <c r="L137" i="5"/>
  <c r="O137" i="5"/>
  <c r="L230" i="5"/>
  <c r="N230" i="5"/>
  <c r="M230" i="5"/>
  <c r="N197" i="5"/>
  <c r="O197" i="5"/>
  <c r="M197" i="5"/>
  <c r="L197" i="5"/>
  <c r="M292" i="5"/>
  <c r="O292" i="5"/>
  <c r="N292" i="5"/>
  <c r="N90" i="5"/>
  <c r="N79" i="5"/>
  <c r="L79" i="5"/>
  <c r="O79" i="5"/>
  <c r="M79" i="5"/>
  <c r="N250" i="5"/>
  <c r="L250" i="5"/>
  <c r="O250" i="5"/>
  <c r="M250" i="5"/>
  <c r="L55" i="5"/>
  <c r="M55" i="5"/>
  <c r="N55" i="5"/>
  <c r="N301" i="5"/>
  <c r="O275" i="5"/>
  <c r="M275" i="5"/>
  <c r="N275" i="5"/>
  <c r="L275" i="5"/>
  <c r="N20" i="5"/>
  <c r="O20" i="5"/>
  <c r="L20" i="5"/>
  <c r="M20" i="5"/>
  <c r="O132" i="5"/>
  <c r="L154" i="5"/>
  <c r="M280" i="5"/>
  <c r="L280" i="5"/>
  <c r="O280" i="5"/>
  <c r="N280" i="5"/>
  <c r="N33" i="5"/>
  <c r="L33" i="5"/>
  <c r="O33" i="5"/>
  <c r="O107" i="5"/>
  <c r="M107" i="5"/>
  <c r="L107" i="5"/>
  <c r="O281" i="5"/>
  <c r="N281" i="5"/>
  <c r="L281" i="5"/>
  <c r="M281" i="5"/>
  <c r="L269" i="5"/>
  <c r="O89" i="5"/>
  <c r="N89" i="5"/>
  <c r="O66" i="5"/>
  <c r="N2" i="5"/>
  <c r="M2" i="5"/>
  <c r="L2" i="5"/>
  <c r="O2" i="5"/>
  <c r="N163" i="5"/>
  <c r="L163" i="5"/>
  <c r="O163" i="5"/>
  <c r="L176" i="5"/>
  <c r="O176" i="5"/>
  <c r="M176" i="5"/>
  <c r="N176" i="5"/>
  <c r="L252" i="5"/>
  <c r="M252" i="5"/>
  <c r="O252" i="5"/>
  <c r="N252" i="5"/>
  <c r="M41" i="5"/>
  <c r="L64" i="5"/>
  <c r="N130" i="5"/>
  <c r="L130" i="5"/>
  <c r="O130" i="5"/>
  <c r="L273" i="5"/>
  <c r="N273" i="5"/>
  <c r="O273" i="5"/>
  <c r="M273" i="5"/>
  <c r="M301" i="5" l="1"/>
  <c r="O150" i="5"/>
  <c r="O303" i="5"/>
  <c r="N264" i="5"/>
  <c r="N121" i="5"/>
  <c r="N29" i="5"/>
  <c r="M112" i="5"/>
  <c r="O288" i="5"/>
  <c r="M65" i="5"/>
  <c r="O188" i="5"/>
  <c r="L182" i="5"/>
  <c r="L109" i="5"/>
  <c r="L82" i="5"/>
  <c r="O101" i="5"/>
  <c r="O254" i="5"/>
  <c r="N164" i="5"/>
  <c r="N15" i="5"/>
  <c r="O121" i="5"/>
  <c r="L133" i="5"/>
  <c r="L120" i="5"/>
  <c r="N303" i="5"/>
  <c r="O46" i="5"/>
  <c r="N66" i="5"/>
  <c r="M164" i="5"/>
  <c r="M307" i="5"/>
  <c r="N245" i="5"/>
  <c r="L212" i="5"/>
  <c r="L35" i="5"/>
  <c r="N219" i="5"/>
  <c r="L123" i="5"/>
  <c r="N46" i="5"/>
  <c r="L37" i="5"/>
  <c r="N37" i="5"/>
  <c r="M318" i="5"/>
  <c r="O318" i="5"/>
  <c r="L175" i="5"/>
  <c r="N175" i="5"/>
  <c r="L236" i="5"/>
  <c r="O236" i="5"/>
  <c r="L42" i="5"/>
  <c r="N42" i="5"/>
  <c r="L172" i="5"/>
  <c r="N172" i="5"/>
  <c r="O199" i="5"/>
  <c r="M199" i="5"/>
  <c r="O221" i="5"/>
  <c r="N221" i="5"/>
  <c r="N272" i="5"/>
  <c r="O272" i="5"/>
  <c r="N168" i="5"/>
  <c r="O168" i="5"/>
  <c r="O174" i="5"/>
  <c r="N174" i="5"/>
  <c r="L239" i="5"/>
  <c r="N239" i="5"/>
  <c r="L274" i="5"/>
  <c r="N274" i="5"/>
  <c r="N299" i="5"/>
  <c r="O299" i="5"/>
  <c r="L257" i="5"/>
  <c r="N257" i="5"/>
  <c r="L259" i="5"/>
  <c r="O259" i="5"/>
  <c r="L194" i="5"/>
  <c r="N194" i="5"/>
  <c r="M45" i="5"/>
  <c r="L45" i="5"/>
  <c r="M105" i="5"/>
  <c r="O105" i="5"/>
  <c r="M300" i="5"/>
  <c r="O300" i="5"/>
  <c r="M203" i="5"/>
  <c r="O203" i="5"/>
  <c r="L296" i="5"/>
  <c r="N296" i="5"/>
  <c r="L282" i="5"/>
  <c r="O282" i="5"/>
  <c r="M162" i="5"/>
  <c r="O162" i="5"/>
  <c r="M314" i="5"/>
  <c r="N314" i="5"/>
  <c r="O10" i="5"/>
  <c r="N10" i="5"/>
  <c r="L316" i="5"/>
  <c r="N316" i="5"/>
  <c r="L210" i="5"/>
  <c r="N210" i="5"/>
  <c r="L283" i="5"/>
  <c r="O283" i="5"/>
  <c r="L246" i="5"/>
  <c r="O246" i="5"/>
  <c r="L188" i="5"/>
  <c r="N188" i="5"/>
  <c r="O220" i="5"/>
  <c r="N220" i="5"/>
  <c r="O289" i="5"/>
  <c r="M289" i="5"/>
  <c r="M8" i="5"/>
  <c r="N8" i="5"/>
  <c r="N146" i="5"/>
  <c r="M146" i="5"/>
  <c r="M322" i="5"/>
  <c r="N322" i="5"/>
  <c r="L293" i="5"/>
  <c r="N293" i="5"/>
  <c r="L312" i="5"/>
  <c r="N312" i="5"/>
  <c r="O65" i="5"/>
  <c r="N65" i="5"/>
  <c r="O75" i="5"/>
  <c r="N75" i="5"/>
  <c r="M204" i="5"/>
  <c r="N204" i="5"/>
  <c r="M145" i="5"/>
  <c r="N145" i="5"/>
  <c r="L140" i="5"/>
  <c r="O140" i="5"/>
  <c r="M266" i="5"/>
  <c r="N266" i="5"/>
  <c r="O94" i="5"/>
  <c r="L94" i="5"/>
  <c r="M27" i="5"/>
  <c r="N27" i="5"/>
  <c r="L92" i="5"/>
  <c r="O92" i="5"/>
  <c r="L326" i="5"/>
  <c r="O326" i="5"/>
  <c r="O48" i="5"/>
  <c r="N48" i="5"/>
  <c r="M173" i="5"/>
  <c r="L173" i="5"/>
  <c r="N64" i="5"/>
  <c r="N287" i="5"/>
  <c r="M132" i="5"/>
  <c r="M90" i="5"/>
  <c r="N32" i="5"/>
  <c r="O302" i="5"/>
  <c r="N167" i="5"/>
  <c r="O39" i="5"/>
  <c r="L234" i="5"/>
  <c r="O86" i="5"/>
  <c r="M76" i="5"/>
  <c r="L231" i="5"/>
  <c r="N136" i="5"/>
  <c r="N134" i="5"/>
  <c r="O216" i="5"/>
  <c r="N158" i="5"/>
  <c r="N25" i="5"/>
  <c r="N147" i="5"/>
  <c r="O83" i="5"/>
  <c r="L68" i="5"/>
  <c r="L155" i="5"/>
  <c r="N232" i="5"/>
  <c r="L43" i="5"/>
  <c r="M201" i="5"/>
  <c r="N148" i="5"/>
  <c r="O141" i="5"/>
  <c r="M291" i="5"/>
  <c r="L320" i="5"/>
  <c r="N206" i="5"/>
  <c r="N118" i="5"/>
  <c r="N271" i="5"/>
  <c r="O102" i="5"/>
  <c r="L99" i="5"/>
  <c r="L78" i="5"/>
  <c r="O84" i="5"/>
  <c r="N88" i="5"/>
  <c r="O257" i="5"/>
  <c r="O239" i="5"/>
  <c r="M174" i="5"/>
  <c r="M221" i="5"/>
  <c r="L199" i="5"/>
  <c r="N236" i="5"/>
  <c r="M175" i="5"/>
  <c r="M259" i="5"/>
  <c r="N105" i="5"/>
  <c r="L300" i="5"/>
  <c r="M282" i="5"/>
  <c r="N162" i="5"/>
  <c r="M64" i="5"/>
  <c r="N41" i="5"/>
  <c r="L89" i="5"/>
  <c r="M287" i="5"/>
  <c r="O269" i="5"/>
  <c r="M254" i="5"/>
  <c r="N154" i="5"/>
  <c r="L301" i="5"/>
  <c r="N133" i="5"/>
  <c r="O32" i="5"/>
  <c r="N302" i="5"/>
  <c r="N237" i="5"/>
  <c r="L307" i="5"/>
  <c r="M152" i="5"/>
  <c r="N108" i="5"/>
  <c r="O120" i="5"/>
  <c r="M234" i="5"/>
  <c r="M150" i="5"/>
  <c r="M86" i="5"/>
  <c r="L85" i="5"/>
  <c r="M245" i="5"/>
  <c r="O179" i="5"/>
  <c r="O15" i="5"/>
  <c r="N31" i="5"/>
  <c r="O231" i="5"/>
  <c r="O38" i="5"/>
  <c r="O136" i="5"/>
  <c r="M134" i="5"/>
  <c r="N35" i="5"/>
  <c r="O187" i="5"/>
  <c r="M264" i="5"/>
  <c r="L25" i="5"/>
  <c r="L147" i="5"/>
  <c r="M219" i="5"/>
  <c r="L248" i="5"/>
  <c r="M263" i="5"/>
  <c r="M155" i="5"/>
  <c r="L232" i="5"/>
  <c r="N23" i="5"/>
  <c r="O317" i="5"/>
  <c r="L214" i="5"/>
  <c r="M148" i="5"/>
  <c r="N141" i="5"/>
  <c r="N128" i="5"/>
  <c r="N104" i="5"/>
  <c r="M117" i="5"/>
  <c r="O206" i="5"/>
  <c r="M118" i="5"/>
  <c r="M111" i="5"/>
  <c r="N225" i="5"/>
  <c r="M121" i="5"/>
  <c r="O178" i="5"/>
  <c r="O99" i="5"/>
  <c r="O149" i="5"/>
  <c r="O78" i="5"/>
  <c r="M29" i="5"/>
  <c r="M46" i="5"/>
  <c r="L191" i="5"/>
  <c r="M88" i="5"/>
  <c r="N288" i="5"/>
  <c r="M257" i="5"/>
  <c r="L299" i="5"/>
  <c r="M312" i="5"/>
  <c r="O293" i="5"/>
  <c r="L174" i="5"/>
  <c r="L168" i="5"/>
  <c r="L8" i="5"/>
  <c r="L289" i="5"/>
  <c r="N199" i="5"/>
  <c r="M172" i="5"/>
  <c r="M246" i="5"/>
  <c r="N283" i="5"/>
  <c r="O175" i="5"/>
  <c r="L318" i="5"/>
  <c r="M10" i="5"/>
  <c r="N259" i="5"/>
  <c r="O194" i="5"/>
  <c r="N140" i="5"/>
  <c r="O266" i="5"/>
  <c r="N300" i="5"/>
  <c r="L203" i="5"/>
  <c r="M92" i="5"/>
  <c r="N326" i="5"/>
  <c r="L162" i="5"/>
  <c r="L314" i="5"/>
  <c r="O41" i="5"/>
  <c r="M66" i="5"/>
  <c r="L287" i="5"/>
  <c r="M269" i="5"/>
  <c r="N254" i="5"/>
  <c r="M154" i="5"/>
  <c r="L132" i="5"/>
  <c r="O133" i="5"/>
  <c r="O90" i="5"/>
  <c r="L32" i="5"/>
  <c r="L164" i="5"/>
  <c r="L302" i="5"/>
  <c r="M237" i="5"/>
  <c r="L152" i="5"/>
  <c r="L108" i="5"/>
  <c r="O167" i="5"/>
  <c r="N120" i="5"/>
  <c r="N39" i="5"/>
  <c r="L150" i="5"/>
  <c r="M303" i="5"/>
  <c r="N85" i="5"/>
  <c r="N179" i="5"/>
  <c r="O190" i="5"/>
  <c r="L15" i="5"/>
  <c r="L31" i="5"/>
  <c r="N76" i="5"/>
  <c r="L38" i="5"/>
  <c r="N212" i="5"/>
  <c r="M136" i="5"/>
  <c r="L170" i="5"/>
  <c r="L134" i="5"/>
  <c r="M35" i="5"/>
  <c r="N216" i="5"/>
  <c r="M187" i="5"/>
  <c r="M158" i="5"/>
  <c r="M25" i="5"/>
  <c r="I8" i="14" s="1"/>
  <c r="O222" i="5"/>
  <c r="O147" i="5"/>
  <c r="O219" i="5"/>
  <c r="N83" i="5"/>
  <c r="M248" i="5"/>
  <c r="O68" i="5"/>
  <c r="N155" i="5"/>
  <c r="L228" i="5"/>
  <c r="M232" i="5"/>
  <c r="M23" i="5"/>
  <c r="N43" i="5"/>
  <c r="N317" i="5"/>
  <c r="O201" i="5"/>
  <c r="O148" i="5"/>
  <c r="M226" i="5"/>
  <c r="M141" i="5"/>
  <c r="O128" i="5"/>
  <c r="L291" i="5"/>
  <c r="O104" i="5"/>
  <c r="N320" i="5"/>
  <c r="L206" i="5"/>
  <c r="O325" i="5"/>
  <c r="L118" i="5"/>
  <c r="N111" i="5"/>
  <c r="O271" i="5"/>
  <c r="M225" i="5"/>
  <c r="N102" i="5"/>
  <c r="M178" i="5"/>
  <c r="O123" i="5"/>
  <c r="M99" i="5"/>
  <c r="M149" i="5"/>
  <c r="O29" i="5"/>
  <c r="L84" i="5"/>
  <c r="M191" i="5"/>
  <c r="N112" i="5"/>
  <c r="O88" i="5"/>
  <c r="M288" i="5"/>
  <c r="L75" i="5"/>
  <c r="M299" i="5"/>
  <c r="M274" i="5"/>
  <c r="M293" i="5"/>
  <c r="L322" i="5"/>
  <c r="M168" i="5"/>
  <c r="L272" i="5"/>
  <c r="N289" i="5"/>
  <c r="M220" i="5"/>
  <c r="O172" i="5"/>
  <c r="O42" i="5"/>
  <c r="M283" i="5"/>
  <c r="O210" i="5"/>
  <c r="N318" i="5"/>
  <c r="M37" i="5"/>
  <c r="E11" i="14" s="1"/>
  <c r="O204" i="5"/>
  <c r="M194" i="5"/>
  <c r="O45" i="5"/>
  <c r="L266" i="5"/>
  <c r="M94" i="5"/>
  <c r="N203" i="5"/>
  <c r="O296" i="5"/>
  <c r="M326" i="5"/>
  <c r="M48" i="5"/>
  <c r="O314" i="5"/>
  <c r="E2" i="14"/>
  <c r="D12" i="14"/>
  <c r="E15" i="14"/>
  <c r="E5" i="14"/>
  <c r="J4" i="14"/>
  <c r="E9" i="14"/>
  <c r="I14" i="14"/>
  <c r="E4" i="14"/>
  <c r="I2" i="14"/>
  <c r="E14" i="14"/>
  <c r="I4" i="14"/>
  <c r="J14" i="14"/>
  <c r="E12" i="14"/>
  <c r="E3" i="14"/>
  <c r="J9" i="14"/>
  <c r="D10" i="14"/>
  <c r="I5" i="14"/>
  <c r="I11" i="14"/>
  <c r="J10" i="14"/>
  <c r="J3" i="14"/>
  <c r="D3" i="14"/>
  <c r="D5" i="14"/>
  <c r="D8" i="14" l="1"/>
  <c r="I10" i="14"/>
  <c r="J15" i="14"/>
  <c r="E6" i="14"/>
  <c r="E8" i="14"/>
  <c r="J2" i="14"/>
  <c r="I15" i="14"/>
  <c r="J7" i="14"/>
  <c r="I9" i="14"/>
  <c r="D4" i="14"/>
  <c r="D2" i="14"/>
  <c r="I12" i="14"/>
  <c r="E7" i="14"/>
  <c r="D7" i="14"/>
  <c r="I7" i="14"/>
  <c r="J8" i="14"/>
  <c r="D14" i="14"/>
  <c r="J5" i="14"/>
  <c r="I3" i="14"/>
  <c r="D6" i="14"/>
  <c r="D11" i="14"/>
  <c r="J12" i="14"/>
  <c r="D9" i="14"/>
  <c r="J11" i="14"/>
  <c r="J6" i="14"/>
  <c r="E10" i="14"/>
  <c r="I6" i="14"/>
  <c r="D15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F2" i="14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L3" i="14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K2" i="14"/>
  <c r="K3" i="14" s="1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L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<sst xmlns="http://schemas.openxmlformats.org/spreadsheetml/2006/main" count="3721" uniqueCount="955">
  <si>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</si>
  <si>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</si>
  <si>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</si>
  <si>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</si>
  <si>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</si>
  <si>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</si>
  <si>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</si>
  <si>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</si>
  <si>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</si>
  <si>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</si>
  <si>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</si>
  <si>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</si>
  <si>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</si>
  <si>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</si>
  <si>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</si>
  <si>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</si>
  <si>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</si>
  <si>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</si>
  <si>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</si>
  <si>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</si>
  <si>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</si>
  <si>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</si>
  <si>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</si>
  <si>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</si>
  <si>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</si>
  <si>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</si>
  <si>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</si>
  <si>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</si>
  <si>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</si>
  <si>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</si>
  <si>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</si>
  <si>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</si>
  <si>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</si>
  <si>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</si>
  <si>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</si>
  <si>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</si>
  <si>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</si>
  <si>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</si>
  <si>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</si>
  <si>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</si>
  <si>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</si>
  <si>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</si>
  <si>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</si>
  <si>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</si>
  <si>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</si>
  <si>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</si>
  <si>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</si>
  <si>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</si>
  <si>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</si>
  <si>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</si>
  <si>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</si>
  <si>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</si>
  <si>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</si>
  <si>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</si>
  <si>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</si>
  <si>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</si>
  <si>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</si>
  <si>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</si>
  <si>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</si>
  <si>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</si>
  <si>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</si>
  <si>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</si>
  <si>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</si>
  <si>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</si>
  <si>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</si>
  <si>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</si>
  <si>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</si>
  <si>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</si>
  <si>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</si>
  <si>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</si>
  <si>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</si>
  <si>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</si>
  <si>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</si>
  <si>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</si>
  <si>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</si>
  <si>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</si>
  <si>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</si>
  <si>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</si>
  <si>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</si>
  <si>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</si>
  <si>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</si>
  <si>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</si>
  <si>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</si>
  <si>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</si>
  <si>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</si>
  <si>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</si>
  <si>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</si>
  <si>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</si>
  <si>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</si>
  <si>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</si>
  <si>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</si>
  <si>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</si>
  <si>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</si>
  <si>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</si>
  <si>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</si>
  <si>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</si>
  <si>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</si>
  <si>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</si>
  <si>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</si>
  <si>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</si>
  <si>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</si>
  <si>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</si>
  <si>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</si>
  <si>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</si>
  <si>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</si>
  <si>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</si>
  <si>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</si>
  <si>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</si>
  <si>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</si>
  <si>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</si>
  <si>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</si>
  <si>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</si>
  <si>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</si>
  <si>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</si>
  <si>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</si>
  <si>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</si>
  <si>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</si>
  <si>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</si>
  <si>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</si>
  <si>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</si>
  <si>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</si>
  <si>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</si>
  <si>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</si>
  <si>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</si>
  <si>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</si>
  <si>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</si>
  <si>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</si>
  <si>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</si>
  <si>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</si>
  <si>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</si>
  <si>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</si>
  <si>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</si>
  <si>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</si>
  <si>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</si>
  <si>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</si>
  <si>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</si>
  <si>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</si>
  <si>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</si>
  <si>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</si>
  <si>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</si>
  <si>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</si>
  <si>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</si>
  <si>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</si>
  <si>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</si>
  <si>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</si>
  <si>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</si>
  <si>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</si>
  <si>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</si>
  <si>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</si>
  <si>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</si>
  <si>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</si>
  <si>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</si>
  <si>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</si>
  <si>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</si>
  <si>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</si>
  <si>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</si>
  <si>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</si>
  <si>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</si>
  <si>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</si>
  <si>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</si>
  <si>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</si>
  <si>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</si>
  <si>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</si>
  <si>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</si>
  <si>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</si>
  <si>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</si>
  <si>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</si>
  <si>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</si>
  <si>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</si>
  <si>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</si>
  <si>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</si>
  <si>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</si>
  <si>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</si>
  <si>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</si>
  <si>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</si>
  <si>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</si>
  <si>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</si>
  <si>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</si>
  <si>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</si>
  <si>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</si>
  <si>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</si>
  <si>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</si>
  <si>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</si>
  <si>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</si>
  <si>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</si>
  <si>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</si>
  <si>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</si>
  <si>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</si>
  <si>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</si>
  <si>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</si>
  <si>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</si>
  <si>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</si>
  <si>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</si>
  <si>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</si>
  <si>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</si>
  <si>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</si>
  <si>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</si>
  <si>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</si>
  <si>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</si>
  <si>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</si>
  <si>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</si>
  <si>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</si>
  <si>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</si>
  <si>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</si>
  <si>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</si>
  <si>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</si>
  <si>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</si>
  <si>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</si>
  <si>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</si>
  <si>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</si>
  <si>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</si>
  <si>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</si>
  <si>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</si>
  <si>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</si>
  <si>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</si>
  <si>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</si>
  <si>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</si>
  <si>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</si>
  <si>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</si>
  <si>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</si>
  <si>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</si>
  <si>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</si>
  <si>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</si>
  <si>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</si>
  <si>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</si>
  <si>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</si>
  <si>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</si>
  <si>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</si>
  <si>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</si>
  <si>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</si>
  <si>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</si>
  <si>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</si>
  <si>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</si>
  <si>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</si>
  <si>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</si>
  <si>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</si>
  <si>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</si>
  <si>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</si>
  <si>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</si>
  <si>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</si>
  <si>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</si>
  <si>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</si>
  <si>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</si>
  <si>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</si>
  <si>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</si>
  <si>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</si>
  <si>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</si>
  <si>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</si>
  <si>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</si>
  <si>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</si>
  <si>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</si>
  <si>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</si>
  <si>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</si>
  <si>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</si>
  <si>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</si>
  <si>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</si>
  <si>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</si>
  <si>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</si>
  <si>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</si>
  <si>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</si>
  <si>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</si>
  <si>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</si>
  <si>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</si>
  <si>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</si>
  <si>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</si>
  <si>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</si>
  <si>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</si>
  <si>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</si>
  <si>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</si>
  <si>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</si>
  <si>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</si>
  <si>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</si>
  <si>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</si>
  <si>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</si>
  <si>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</si>
  <si>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</si>
  <si>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</si>
  <si>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</si>
  <si>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</si>
  <si>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</si>
  <si>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</si>
  <si>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</si>
  <si>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</si>
  <si>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</si>
  <si>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</si>
  <si>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</si>
  <si>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</si>
  <si>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</si>
  <si>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</si>
  <si>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</si>
  <si>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</si>
  <si>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</si>
  <si>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</si>
  <si>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</si>
  <si>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</si>
  <si>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</si>
  <si>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</si>
  <si>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</si>
  <si>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</si>
  <si>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</si>
  <si>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</si>
  <si>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</si>
  <si>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</si>
  <si>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</si>
  <si>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</si>
  <si>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</si>
  <si>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</si>
  <si>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</si>
  <si>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</si>
  <si>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</si>
  <si>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</si>
  <si>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</si>
  <si>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</si>
  <si>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</si>
  <si>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</si>
  <si>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</si>
  <si>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</si>
  <si>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</si>
  <si>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</si>
  <si>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</si>
  <si>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</si>
  <si>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</si>
  <si>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</si>
  <si>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</si>
  <si>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</si>
  <si>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</si>
  <si>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</si>
  <si>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</si>
  <si>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</si>
  <si>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</si>
  <si>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</si>
  <si>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</si>
  <si>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</si>
  <si>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</si>
  <si>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</si>
  <si>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</si>
  <si>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</si>
  <si>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</si>
  <si>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</si>
  <si>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</si>
  <si>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</si>
  <si>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</si>
  <si>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</si>
  <si>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</si>
  <si>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</si>
  <si>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</si>
  <si>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</si>
  <si>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</si>
  <si>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</si>
  <si>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</si>
  <si>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</si>
  <si>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</si>
  <si>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</si>
  <si>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</si>
  <si>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</si>
  <si>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</si>
  <si>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</si>
  <si>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</si>
  <si>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</si>
  <si>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</si>
  <si>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</si>
  <si>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</si>
  <si>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</si>
  <si>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</si>
  <si>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</si>
  <si>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</si>
  <si>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</si>
  <si>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</si>
  <si>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</si>
  <si>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</si>
  <si>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</si>
  <si>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</si>
  <si>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</si>
  <si>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</si>
  <si>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</si>
  <si>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</si>
  <si>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</si>
  <si>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</si>
  <si>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</si>
  <si>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</si>
  <si>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</si>
  <si>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</si>
  <si>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</si>
  <si>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</si>
  <si>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</si>
  <si>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</si>
  <si>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</si>
  <si>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</si>
  <si>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</si>
  <si>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</si>
  <si>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</si>
  <si>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</si>
  <si>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</si>
  <si>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</si>
  <si>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</si>
  <si>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</si>
  <si>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</si>
  <si>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</si>
  <si>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</si>
  <si>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</si>
  <si>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</si>
  <si>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</si>
  <si>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</si>
  <si>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</si>
  <si>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</si>
  <si>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</si>
  <si>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</si>
  <si>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</si>
  <si>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</si>
  <si>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</si>
  <si>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</si>
  <si>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</si>
  <si>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</si>
  <si>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</si>
  <si>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</si>
  <si>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</si>
  <si>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</si>
  <si>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</si>
  <si>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</si>
  <si>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</si>
  <si>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</si>
  <si>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</si>
  <si>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</si>
  <si>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</si>
  <si>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</si>
  <si>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</si>
  <si>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</si>
  <si>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</si>
  <si>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</si>
  <si>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</si>
  <si>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</si>
  <si>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</si>
  <si>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</si>
  <si>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</si>
  <si>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</si>
  <si>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</si>
  <si>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</si>
  <si>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</si>
  <si>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</si>
  <si>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</si>
  <si>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</si>
  <si>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</si>
  <si>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</si>
  <si>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</si>
  <si>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</si>
  <si>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</si>
  <si>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</si>
  <si>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</si>
  <si>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</si>
  <si>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</si>
  <si>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</si>
  <si>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</si>
  <si>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</si>
  <si>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</si>
  <si>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</si>
  <si>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</si>
  <si>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</si>
  <si>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</si>
  <si>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</si>
  <si>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</si>
  <si>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</si>
  <si>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</si>
  <si>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</si>
  <si>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</si>
  <si>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</si>
  <si>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</si>
  <si>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</si>
  <si>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</si>
  <si>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</si>
  <si>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</si>
  <si>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</si>
  <si>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</si>
  <si>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</si>
  <si>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</si>
  <si>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</si>
  <si>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</si>
  <si>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</si>
  <si>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</si>
  <si>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</si>
  <si>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</si>
  <si>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</si>
  <si>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</si>
  <si>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</si>
  <si>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</si>
  <si>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</si>
  <si>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</si>
  <si>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</si>
  <si>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</si>
  <si>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</si>
  <si>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</si>
  <si>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</si>
  <si>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</si>
  <si>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</si>
  <si>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</si>
  <si>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</si>
  <si>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</si>
  <si>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</si>
  <si>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</si>
  <si>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</si>
  <si>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</si>
  <si>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</si>
  <si>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</si>
  <si>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</si>
  <si>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</si>
  <si>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</si>
  <si>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</si>
  <si>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</si>
  <si>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</si>
  <si>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</si>
  <si>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</si>
  <si>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</si>
  <si>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</si>
  <si>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</si>
  <si>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</si>
  <si>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</si>
  <si>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</si>
  <si>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</si>
  <si>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</si>
  <si>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</si>
  <si>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</si>
  <si>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</si>
  <si>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</si>
  <si>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</si>
  <si>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</si>
  <si>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</si>
  <si>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</si>
  <si>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</si>
  <si>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</si>
  <si>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</si>
  <si>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</si>
  <si>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</si>
  <si>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</si>
  <si>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</si>
  <si>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</si>
  <si>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</si>
  <si>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</si>
  <si>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</si>
  <si>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</si>
  <si>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</si>
  <si>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</si>
  <si>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</si>
  <si>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</si>
  <si>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</si>
  <si>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</si>
  <si>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</si>
  <si>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</si>
  <si>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</si>
  <si>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</si>
  <si>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</si>
  <si>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</si>
  <si>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</si>
  <si>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</si>
  <si>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</si>
  <si>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</si>
  <si>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</si>
  <si>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</si>
  <si>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</si>
  <si>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</si>
  <si>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</si>
  <si>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</si>
  <si>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</si>
  <si>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</si>
  <si>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</si>
  <si>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</si>
  <si>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</si>
  <si>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</si>
  <si>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</si>
  <si>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</si>
  <si>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</si>
  <si>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</si>
  <si>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</si>
  <si>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</si>
  <si>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</si>
  <si>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</si>
  <si>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</si>
  <si>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</si>
  <si>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</si>
  <si>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</si>
  <si>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</si>
  <si>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</si>
  <si>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</si>
  <si>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</si>
  <si>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</si>
  <si>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</si>
  <si>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</si>
  <si>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</si>
  <si>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</si>
  <si>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</si>
  <si>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</si>
  <si>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</si>
  <si>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</si>
  <si>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</si>
  <si>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</si>
  <si>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</si>
  <si>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</si>
  <si>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</si>
  <si>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</si>
  <si>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</si>
  <si>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</si>
  <si>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</si>
  <si>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</si>
  <si>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</si>
  <si>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</si>
  <si>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</si>
  <si>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</si>
  <si>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</si>
  <si>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</si>
  <si>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</si>
  <si>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</si>
  <si>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</si>
  <si>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</si>
  <si>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</si>
  <si>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</si>
  <si>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</si>
  <si>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</si>
  <si>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</si>
  <si>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</si>
  <si>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</si>
  <si>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</si>
  <si>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</si>
  <si>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</si>
  <si>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</si>
  <si>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</si>
  <si>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</si>
  <si>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</si>
  <si>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</si>
  <si>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</si>
  <si>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</si>
  <si>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</si>
  <si>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</si>
  <si>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</si>
  <si>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</si>
  <si>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</si>
  <si>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</si>
  <si>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</si>
  <si>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</si>
  <si>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</si>
  <si>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</si>
  <si>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</si>
  <si>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</si>
  <si>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</si>
  <si>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</si>
  <si>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</si>
  <si>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</si>
  <si>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</si>
  <si>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</si>
  <si>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</si>
  <si>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</si>
  <si>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</si>
  <si>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</si>
  <si>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</si>
  <si>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</si>
  <si>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</si>
  <si>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</si>
  <si>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</si>
  <si>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</si>
  <si>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</si>
  <si>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</si>
  <si>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</si>
  <si>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</si>
  <si>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</si>
  <si>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</si>
  <si>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</si>
  <si>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</si>
  <si>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</si>
  <si>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</si>
  <si>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</si>
  <si>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</si>
  <si>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</si>
  <si>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</si>
  <si>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</si>
  <si>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</si>
  <si>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</si>
  <si>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</si>
  <si>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</si>
  <si>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</si>
  <si>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</si>
  <si>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</si>
  <si>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</si>
  <si>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</si>
  <si>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</si>
  <si>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</si>
  <si>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</si>
  <si>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</si>
  <si>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</si>
  <si>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</si>
  <si>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</si>
  <si>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</si>
  <si>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</si>
  <si>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</si>
  <si>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</si>
  <si>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</si>
  <si>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</si>
  <si>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</si>
  <si>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</si>
  <si>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</si>
  <si>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</si>
  <si>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</si>
  <si>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</si>
  <si>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</si>
  <si>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</si>
  <si>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</si>
  <si>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</si>
  <si>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</si>
  <si>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</si>
  <si>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</si>
  <si>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</si>
  <si>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</si>
  <si>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</si>
  <si>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</si>
  <si>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</si>
  <si>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</si>
  <si>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</si>
  <si>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</si>
  <si>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</si>
  <si>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</si>
  <si>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</si>
  <si>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</si>
  <si>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</si>
  <si>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</si>
  <si>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</si>
  <si>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</si>
  <si>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</si>
  <si>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</si>
  <si>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</si>
  <si>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</si>
  <si>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</si>
  <si>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</si>
  <si>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</si>
  <si>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</si>
  <si>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</si>
  <si>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</si>
  <si>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</si>
  <si>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</si>
  <si>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</si>
  <si>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</si>
  <si>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</si>
  <si>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</si>
  <si>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</si>
  <si>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</si>
  <si>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</si>
  <si>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</si>
  <si>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</si>
  <si>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</si>
  <si>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</si>
  <si>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</si>
  <si>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</si>
  <si>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</si>
  <si>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</si>
  <si>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</si>
  <si>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</si>
  <si>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</si>
  <si>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</si>
  <si>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</si>
  <si>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</si>
  <si>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</si>
  <si>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</si>
  <si>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</si>
  <si>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</si>
  <si>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</si>
  <si>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</si>
  <si>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</si>
  <si>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</si>
  <si>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</si>
  <si>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</si>
  <si>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</si>
  <si>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</si>
  <si>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</si>
  <si>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</si>
  <si>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</si>
  <si>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</si>
  <si>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</si>
  <si>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</si>
  <si>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</si>
  <si>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</si>
  <si>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</si>
  <si>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</si>
  <si>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</si>
  <si>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</si>
  <si>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</si>
  <si>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</si>
  <si>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</si>
  <si>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</si>
  <si>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</si>
  <si>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</si>
  <si>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</si>
  <si>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</si>
  <si>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</si>
  <si>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</si>
  <si>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</si>
  <si>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</si>
  <si>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</si>
  <si>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</si>
  <si>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</si>
  <si>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</si>
  <si>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</si>
  <si>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</si>
  <si>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</si>
  <si>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</si>
  <si>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</si>
  <si>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</si>
  <si>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</si>
  <si>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</si>
  <si>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</si>
  <si>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</si>
  <si>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</si>
  <si>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</si>
  <si>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</si>
  <si>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</si>
  <si>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</si>
  <si>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</si>
  <si>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</si>
  <si>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</si>
  <si>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</si>
  <si>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</si>
  <si>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</si>
  <si>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</si>
  <si>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</si>
  <si>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</si>
  <si>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</si>
  <si>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</si>
  <si>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</si>
  <si>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</si>
  <si>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</si>
  <si>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</si>
  <si>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</si>
  <si>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</si>
  <si>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</si>
  <si>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</si>
  <si>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</si>
  <si>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</si>
  <si>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</si>
  <si>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</si>
  <si>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</si>
  <si>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</si>
  <si>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</si>
  <si>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</si>
  <si>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</si>
  <si>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</si>
  <si>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</si>
  <si>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</si>
  <si>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</si>
  <si>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</si>
  <si>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</si>
  <si>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</si>
  <si>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</si>
  <si>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</si>
  <si>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</si>
  <si>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</si>
  <si>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</si>
  <si>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</si>
  <si>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</si>
  <si>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</si>
  <si>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</si>
  <si>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</si>
  <si>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</si>
  <si>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</si>
  <si>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</si>
  <si>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</si>
  <si>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</si>
  <si>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</si>
  <si>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</si>
  <si>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</si>
  <si>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</si>
  <si>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</si>
  <si>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</si>
  <si>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</si>
  <si>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</si>
  <si>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</si>
  <si>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</si>
  <si>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</si>
  <si>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</si>
  <si>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</si>
  <si>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</si>
  <si>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</si>
  <si>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</si>
  <si>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</si>
  <si>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</si>
  <si>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</si>
  <si>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</si>
  <si>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</si>
  <si>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</si>
  <si>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</si>
  <si>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</si>
  <si>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</si>
  <si>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</si>
  <si>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</si>
  <si>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</si>
  <si>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</si>
  <si>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</si>
  <si>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</si>
  <si>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</si>
  <si>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</si>
  <si>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</si>
  <si>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</si>
  <si>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</si>
  <si>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</si>
  <si>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</si>
  <si>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</si>
  <si>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</si>
  <si>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</si>
  <si>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</si>
  <si>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</si>
  <si>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</si>
  <si>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</si>
  <si>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</si>
  <si>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</si>
  <si>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</si>
  <si>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</si>
  <si>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</si>
  <si>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</si>
  <si>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</si>
  <si>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</si>
  <si>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</si>
  <si>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</si>
  <si>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</si>
  <si>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</si>
  <si>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</si>
  <si>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</si>
  <si>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</si>
  <si>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</si>
  <si>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</si>
  <si>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</si>
  <si>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</si>
  <si>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</si>
  <si>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</si>
  <si>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</si>
  <si>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</si>
  <si>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</si>
  <si>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</si>
  <si>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</si>
  <si>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</si>
  <si>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</si>
  <si>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ΑΘΗΝΑΙΩΝ</t>
  </si>
  <si>
    <t>ΚΕΝΤΡΙΚΗΣ ΜΑΚΕΔΟΝΙΑΣ - ΠΟΛΥΓΥΡΟΥ</t>
  </si>
  <si>
    <t>ΝΟΤΙΟΥ ΑΙΓΑΙΟΥ - ΡΟΔΟΥ</t>
  </si>
  <si>
    <t>ΑΝΑΤΟΛΙΚΗΣ ΜΑΚΕΔΟΝΙΑΣ ΚΑΙ ΘΡΑΚΗΣ - ΟΡΕΣΤΙΑΔΑΣ</t>
  </si>
  <si>
    <t>ΚΕΝΤΡΙΚΗΣ ΜΑΚΕΔΟΝΙΑΣ - ΔΕΛΤΑ</t>
  </si>
  <si>
    <t>ΠΕΛΟΠΟΝΝΗΣΟΥ - ΚΑΛΑΜΑΤΑΣ</t>
  </si>
  <si>
    <t>ΚΡΗΤΗΣ - ΗΡΑΚΛΕΙΟΥ</t>
  </si>
  <si>
    <t>ΒΟΡΕΙΟΥ ΑΙΓΑΙΟΥ - ΣΑΜΟΥ</t>
  </si>
  <si>
    <t>ΔΥΤΙΚΗΣ ΜΑΚΕΔΟΝΙΑΣ - ΦΛΩΡΙΝΑΣ</t>
  </si>
  <si>
    <t>ΣΤΕΡΕΑΣ ΕΛΛΑΔΑΣ - ΧΑΛΚΙΔΕΩΝ</t>
  </si>
  <si>
    <t>ΔΥΤΙΚΗΣ ΕΛΛΑΔΑΣ - ΠΑΤΡΕΩΝ</t>
  </si>
  <si>
    <t>ΗΠΕΙΡΟΥ - ΙΩΑΝΝΙΤΩΝ</t>
  </si>
  <si>
    <t>ΘΕΣΣΑΛΙΑΣ - ΒΟΛΟΥ</t>
  </si>
  <si>
    <t>ΙΟΝΙΩΝ ΝΗΣΩΝ - ΛΕΥΚΑΔΑΣ</t>
  </si>
  <si>
    <t>ΚΕΝΤΡΙΚΗΣ ΜΑΚΕΔΟΝΙΑΣ - ΘΕΣΣΑΛΟΝΙΚΗΣ</t>
  </si>
  <si>
    <t>ΠΕΛΟΠΟΝΝΗΣΟΥ - ΤΡΙΠΟΛΗΣ</t>
  </si>
  <si>
    <t>ΘΕΣΣΑΛΙΑΣ - ΛΑΡΙΣΑΙΩΝ</t>
  </si>
  <si>
    <t>Οποτεδήποτε μέσα σε 8 ώρες</t>
  </si>
  <si>
    <t>"Δευτέρα - Κυριακή: 24 ώρες &amp; αργίες Μέσω τηλεφώνου 13831  ή 13731 (ατελώς)"</t>
  </si>
  <si>
    <t>Κανένας Περιορισμός</t>
  </si>
  <si>
    <t>Δεν παρέχεται</t>
  </si>
  <si>
    <t xml:space="preserve">Μέσω Καταστημάτων: Ωράριο καταστημάτων 
Μέσω Τηλεφώνου 13831:  Δευτέρα - Κυριακή: 07:00-23:00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</si>
</sst>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9" xfId="0" applyNumberFormat="1" applyFill="1" applyBorder="1" applyAlignment="1" applyProtection="1">
      <alignment horizontal="left" vertical="top" wrapText="1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164" customWidth="1"/>
    <col min="2" max="2" width="14.85546875" style="164" customWidth="1"/>
    <col min="3" max="3" width="58.7109375" style="164" customWidth="1"/>
    <col min="4" max="4" width="19.42578125" style="164" hidden="1" customWidth="1"/>
    <col min="5" max="5" width="0" style="164" hidden="1" customWidth="1"/>
    <col min="6" max="16384" width="9.140625" style="164" hidden="1"/>
  </cols>
  <sheetData>
    <row r="1" spans="1:5" x14ac:dyDescent="0.25">
      <c r="A1" s="167"/>
      <c r="B1" s="167"/>
      <c r="C1" s="9" t="s">
        <v>28</v>
      </c>
    </row>
    <row r="2" spans="1:5" ht="22.5" customHeight="1" x14ac:dyDescent="0.25">
      <c r="A2" s="9" t="s">
        <v>28</v>
      </c>
      <c r="B2" s="9"/>
      <c r="C2" s="85" t="s">
        <v>30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FORTHNET</v>
      </c>
    </row>
    <row r="5" spans="1:5" ht="22.5" customHeight="1" x14ac:dyDescent="0.25">
      <c r="A5" s="9" t="s">
        <v>0</v>
      </c>
      <c r="B5" s="9"/>
      <c r="C5" s="85" t="s">
        <v>24</v>
      </c>
    </row>
    <row r="6" spans="1:5" ht="22.5" customHeight="1" x14ac:dyDescent="0.25">
      <c r="A6" s="9" t="s">
        <v>1</v>
      </c>
      <c r="B6" s="9"/>
      <c r="C6" s="161">
        <v>2021</v>
      </c>
    </row>
    <row r="7" spans="1:5" ht="22.5" customHeight="1" x14ac:dyDescent="0.25">
      <c r="A7" s="9" t="s">
        <v>449</v>
      </c>
      <c r="B7" s="9"/>
      <c r="C7" s="162">
        <v>44197</v>
      </c>
    </row>
    <row r="8" spans="1:5" ht="22.5" customHeight="1" x14ac:dyDescent="0.25">
      <c r="A8" s="9" t="s">
        <v>450</v>
      </c>
      <c r="B8" s="9"/>
      <c r="C8" s="162">
        <v>44377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5" ht="67.5" customHeight="1" x14ac:dyDescent="0.25">
      <c r="A11" s="9" t="s">
        <v>421</v>
      </c>
      <c r="B11" s="9"/>
      <c r="C11" s="264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5"/>
    </row>
    <row r="15" spans="1:5" ht="31.5" customHeight="1" thickBot="1" x14ac:dyDescent="0.3">
      <c r="A15" s="168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4 ΣΦΑΛΜΑΤΑ</v>
      </c>
    </row>
    <row r="16" spans="1:5" ht="19.5" thickBot="1" x14ac:dyDescent="0.3">
      <c r="A16" s="33" t="s">
        <v>488</v>
      </c>
      <c r="B16" s="163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6"/>
    </row>
    <row r="17" spans="1:3" ht="19.5" thickBot="1" x14ac:dyDescent="0.3">
      <c r="A17" s="33" t="s">
        <v>490</v>
      </c>
      <c r="B17" s="163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3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3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3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3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3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3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4" t="s">
        <v>932</v>
      </c>
      <c r="B24" s="303"/>
      <c r="C24" s="303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27" priority="19" operator="equal">
      <formula>"ΤΑ ΣΤΟΙΧΕΙΑ ΕΙΝΑΙ ΟΡΘΑ"</formula>
    </cfRule>
    <cfRule type="cellIs" dxfId="26" priority="20" operator="equal">
      <formula>"ΥΠΑΡΧΟΥΝ ΛΑΘΗ"</formula>
    </cfRule>
  </conditionalFormatting>
  <conditionalFormatting sqref="C16">
    <cfRule type="cellIs" dxfId="25" priority="17" operator="equal">
      <formula>"ΤΑ ΣΤΟΙΧΕΙΑ ΕΙΝΑΙ ΟΡΘΑ"</formula>
    </cfRule>
    <cfRule type="cellIs" dxfId="24" priority="18" operator="equal">
      <formula>"ΥΠΑΡΧΟΥΝ ΛΑΘΗ"</formula>
    </cfRule>
  </conditionalFormatting>
  <conditionalFormatting sqref="C23">
    <cfRule type="cellIs" dxfId="23" priority="1" operator="equal">
      <formula>"ΤΑ ΣΤΟΙΧΕΙΑ ΕΙΝΑΙ ΟΡΘΑ"</formula>
    </cfRule>
    <cfRule type="cellIs" dxfId="22" priority="2" operator="equal">
      <formula>"ΥΠΑΡΧΟΥΝ ΛΑΘΗ"</formula>
    </cfRule>
  </conditionalFormatting>
  <conditionalFormatting sqref="C17">
    <cfRule type="cellIs" dxfId="21" priority="13" operator="equal">
      <formula>"ΤΑ ΣΤΟΙΧΕΙΑ ΕΙΝΑΙ ΟΡΘΑ"</formula>
    </cfRule>
    <cfRule type="cellIs" dxfId="20" priority="14" operator="equal">
      <formula>"ΥΠΑΡΧΟΥΝ ΛΑΘΗ"</formula>
    </cfRule>
  </conditionalFormatting>
  <conditionalFormatting sqref="C18">
    <cfRule type="cellIs" dxfId="19" priority="11" operator="equal">
      <formula>"ΤΑ ΣΤΟΙΧΕΙΑ ΕΙΝΑΙ ΟΡΘΑ"</formula>
    </cfRule>
    <cfRule type="cellIs" dxfId="18" priority="12" operator="equal">
      <formula>"ΥΠΑΡΧΟΥΝ ΛΑΘΗ"</formula>
    </cfRule>
  </conditionalFormatting>
  <conditionalFormatting sqref="C19">
    <cfRule type="cellIs" dxfId="17" priority="9" operator="equal">
      <formula>"ΤΑ ΣΤΟΙΧΕΙΑ ΕΙΝΑΙ ΟΡΘΑ"</formula>
    </cfRule>
    <cfRule type="cellIs" dxfId="16" priority="10" operator="equal">
      <formula>"ΥΠΑΡΧΟΥΝ ΛΑΘΗ"</formula>
    </cfRule>
  </conditionalFormatting>
  <conditionalFormatting sqref="C20">
    <cfRule type="cellIs" dxfId="15" priority="7" operator="equal">
      <formula>"ΤΑ ΣΤΟΙΧΕΙΑ ΕΙΝΑΙ ΟΡΘΑ"</formula>
    </cfRule>
    <cfRule type="cellIs" dxfId="14" priority="8" operator="equal">
      <formula>"ΥΠΑΡΧΟΥΝ ΛΑΘΗ"</formula>
    </cfRule>
  </conditionalFormatting>
  <conditionalFormatting sqref="C21">
    <cfRule type="cellIs" dxfId="13" priority="5" operator="equal">
      <formula>"ΤΑ ΣΤΟΙΧΕΙΑ ΕΙΝΑΙ ΟΡΘΑ"</formula>
    </cfRule>
    <cfRule type="cellIs" dxfId="12" priority="6" operator="equal">
      <formula>"ΥΠΑΡΧΟΥΝ ΛΑΘΗ"</formula>
    </cfRule>
  </conditionalFormatting>
  <conditionalFormatting sqref="C22">
    <cfRule type="cellIs" dxfId="11" priority="3" operator="equal">
      <formula>"ΤΑ ΣΤΟΙΧΕΙΑ ΕΙΝΑΙ ΟΡΘΑ"</formula>
    </cfRule>
    <cfRule type="cellIs" dxfId="10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70" zoomScaleNormal="70" workbookViewId="0">
      <selection activeCell="J9" sqref="J9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17.5703125" style="164" customWidth="1"/>
    <col min="4" max="4" width="25.28515625" style="241" hidden="1" customWidth="1"/>
    <col min="5" max="5" width="37.140625" style="241" hidden="1" customWidth="1"/>
    <col min="6" max="6" width="38.140625" style="164" customWidth="1"/>
    <col min="7" max="7" width="19.85546875" style="164" customWidth="1"/>
    <col min="8" max="8" width="28.28515625" style="164" customWidth="1"/>
    <col min="9" max="9" width="16.28515625" style="164" hidden="1" customWidth="1"/>
    <col min="10" max="10" width="36.140625" style="164" customWidth="1"/>
    <col min="11" max="11" width="28.28515625" style="164" hidden="1" customWidth="1"/>
    <col min="12" max="12" width="13.5703125" style="164" customWidth="1"/>
    <col min="13" max="13" width="31.28515625" style="164" customWidth="1"/>
    <col min="14" max="14" width="12.28515625" style="241" hidden="1" customWidth="1"/>
    <col min="15" max="15" width="45.7109375" style="164" customWidth="1"/>
    <col min="16" max="17" width="31.28515625" style="164" customWidth="1"/>
    <col min="18" max="18" width="5.7109375" style="164" customWidth="1"/>
    <col min="19" max="19" width="16.140625" style="164" customWidth="1"/>
    <col min="20" max="20" width="70.140625" style="164" customWidth="1"/>
    <col min="21" max="26" width="9.140625" style="187" customWidth="1"/>
    <col min="27" max="16384" width="9.140625" style="164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20" t="s">
        <v>905</v>
      </c>
      <c r="E1" s="220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9" t="s">
        <v>519</v>
      </c>
      <c r="N1" s="222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21"/>
      <c r="E2" s="221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2" t="s">
        <v>571</v>
      </c>
      <c r="M2" s="4" t="s">
        <v>560</v>
      </c>
      <c r="N2" s="221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6" t="s">
        <v>452</v>
      </c>
    </row>
    <row r="3" spans="1:25" ht="46.5" thickTop="1" thickBot="1" x14ac:dyDescent="0.3">
      <c r="A3" s="40" t="s">
        <v>468</v>
      </c>
      <c r="B3" s="48" t="str">
        <f>ΓΕΝΙΚΑ!C4</f>
        <v>FORTHNET</v>
      </c>
      <c r="C3" s="134" t="s">
        <v>435</v>
      </c>
      <c r="D3" s="225">
        <f>IF(S3="",IF(ΓΕΝΙΚΑ!$B$20="ΝΑΙ",15300,""),"")</f>
        <v>15300</v>
      </c>
      <c r="E3" s="259" t="str">
        <f>IF(ΓΕΝΙΚΑ!$B$20="ΝΑΙ","ΠΑΝΕΛΛΑΔΙΚΑ","")</f>
        <v>ΠΑΝΕΛΛΑΔΙΚΑ</v>
      </c>
      <c r="F3" s="41" t="s">
        <v>555</v>
      </c>
      <c r="G3" s="5">
        <v>50</v>
      </c>
      <c r="H3" s="237">
        <v>0.73030442971205389</v>
      </c>
      <c r="I3" s="239">
        <f>IF(ISNUMBER(H3),ROUND(H3,2),"N/A")</f>
        <v>0.73</v>
      </c>
      <c r="J3" s="237">
        <v>6.5055173295472057</v>
      </c>
      <c r="K3" s="137">
        <f>IF(ISNUMBER(J3),ROUND(J3,2),"N/A")</f>
        <v>6.51</v>
      </c>
      <c r="L3" s="41">
        <f>IF(AND(ISNUMBER(H3),ISNUMBER(J3)),ROUND(H3+J3,0),IF(ISNUMBER(H3),ROUND(H3,0),IF(ISNUMBER(J3),ROUND(J3,0),"N/A")))</f>
        <v>7</v>
      </c>
      <c r="M3" s="289"/>
      <c r="N3" s="237" t="str">
        <f>IF(ISNUMBER(M3),ROUND(M3,2),"")</f>
        <v/>
      </c>
      <c r="O3" s="309" t="s">
        <v>954</v>
      </c>
      <c r="P3" s="310" t="s">
        <v>950</v>
      </c>
      <c r="Q3" s="248" t="s">
        <v>925</v>
      </c>
      <c r="S3" s="126" t="str">
        <f>IF(T3="","","ΣΦΑΛΜΑ")</f>
        <v/>
      </c>
      <c r="T3" s="185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7" t="s">
        <v>575</v>
      </c>
      <c r="V3" s="187" t="s">
        <v>576</v>
      </c>
      <c r="W3" s="187" t="s">
        <v>577</v>
      </c>
      <c r="X3" s="187" t="s">
        <v>578</v>
      </c>
      <c r="Y3" s="187" t="s">
        <v>579</v>
      </c>
    </row>
    <row r="4" spans="1:25" ht="45" x14ac:dyDescent="0.25">
      <c r="A4" s="42" t="str">
        <f t="shared" ref="A4:A30" si="0">A$3</f>
        <v>B05</v>
      </c>
      <c r="B4" s="277" t="str">
        <f>B$3</f>
        <v>FORTHNET</v>
      </c>
      <c r="C4" s="39" t="str">
        <f t="shared" ref="C4:C30" si="1">$C$3</f>
        <v>Έμμεση</v>
      </c>
      <c r="D4" s="213">
        <f>IF(S4="",IF(ΓΕΝΙΚΑ!$B$20="ΝΑΙ",14664,""),"")</f>
        <v>14664</v>
      </c>
      <c r="E4" s="260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237">
        <v>0.78283563886403651</v>
      </c>
      <c r="I4" s="239">
        <f t="shared" ref="I4:I30" si="2">IF(ISNUMBER(H4),ROUND(H4,2),"N/A")</f>
        <v>0.78</v>
      </c>
      <c r="J4" s="237">
        <v>5.8442361203952222</v>
      </c>
      <c r="K4" s="239">
        <f t="shared" ref="K4:K30" si="3">IF(ISNUMBER(J4),ROUND(J4,2),"N/A")</f>
        <v>5.84</v>
      </c>
      <c r="L4" s="7">
        <f t="shared" ref="L4:L30" si="4">IF(AND(ISNUMBER(H4),ISNUMBER(J4)),ROUND(H4+J4,0),IF(ISNUMBER(H4),ROUND(H4,0),IF(ISNUMBER(J4),ROUND(J4,0),"N/A")))</f>
        <v>7</v>
      </c>
      <c r="M4" s="290"/>
      <c r="N4" s="247" t="str">
        <f t="shared" ref="N4:N16" si="5">IF(ISNUMBER(M4),ROUND(M4,2),"")</f>
        <v/>
      </c>
      <c r="O4" s="252" t="str">
        <f>O$3</f>
        <v xml:space="preserve">Μέσω Καταστημάτων: Ωράριο καταστημάτων 
Μέσω Τηλεφώνου 13831:  Δευτέρα - Κυριακή: 07:00-23:00 </v>
      </c>
      <c r="P4" s="253" t="str">
        <f t="shared" ref="P4:Q30" si="6">P$3</f>
        <v>Οποτεδήποτε μέσα σε 8 ώρες</v>
      </c>
      <c r="Q4" s="254" t="str">
        <f t="shared" si="6"/>
        <v/>
      </c>
      <c r="S4" s="126" t="str">
        <f t="shared" ref="S4:S30" si="7">IF(T4="","","ΣΦΑΛΜΑ")</f>
        <v/>
      </c>
      <c r="T4" s="185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7" t="s">
        <v>575</v>
      </c>
      <c r="V4" s="187" t="s">
        <v>576</v>
      </c>
      <c r="W4" s="187" t="s">
        <v>577</v>
      </c>
      <c r="X4" s="187" t="s">
        <v>578</v>
      </c>
      <c r="Y4" s="187" t="s">
        <v>579</v>
      </c>
    </row>
    <row r="5" spans="1:25" ht="45" x14ac:dyDescent="0.25">
      <c r="A5" s="42" t="str">
        <f t="shared" si="0"/>
        <v>B05</v>
      </c>
      <c r="B5" s="277" t="str">
        <f t="shared" ref="B5:B30" si="8">B$3</f>
        <v>FORTHNET</v>
      </c>
      <c r="C5" s="39" t="str">
        <f t="shared" si="1"/>
        <v>Έμμεση</v>
      </c>
      <c r="D5" s="226">
        <f>IF(S5="",IF(ΓΕΝΙΚΑ!$B$20="ΝΑΙ",14666,""),"")</f>
        <v>14666</v>
      </c>
      <c r="E5" s="261" t="str">
        <f>IF(ΓΕΝΙΚΑ!$B$20="ΝΑΙ","Π. ΑΤΤΙΚΗΣ","")</f>
        <v>Π. ΑΤΤΙΚΗΣ</v>
      </c>
      <c r="F5" s="7" t="s">
        <v>40</v>
      </c>
      <c r="G5" s="7">
        <v>50</v>
      </c>
      <c r="H5" s="237">
        <v>0.81903647985050176</v>
      </c>
      <c r="I5" s="239">
        <f t="shared" si="2"/>
        <v>0.82</v>
      </c>
      <c r="J5" s="237">
        <v>7.0534635201494975</v>
      </c>
      <c r="K5" s="239">
        <f t="shared" si="3"/>
        <v>7.05</v>
      </c>
      <c r="L5" s="7">
        <f t="shared" si="4"/>
        <v>8</v>
      </c>
      <c r="M5" s="290"/>
      <c r="N5" s="247" t="str">
        <f t="shared" si="5"/>
        <v/>
      </c>
      <c r="O5" s="252" t="str">
        <f t="shared" ref="O5:O30" si="9">O$3</f>
        <v xml:space="preserve">Μέσω Καταστημάτων: Ωράριο καταστημάτων 
Μέσω Τηλεφώνου 13831:  Δευτέρα - Κυριακή: 07:00-23:00 </v>
      </c>
      <c r="P5" s="253" t="str">
        <f t="shared" si="6"/>
        <v>Οποτεδήποτε μέσα σε 8 ώρες</v>
      </c>
      <c r="Q5" s="254" t="str">
        <f t="shared" si="6"/>
        <v/>
      </c>
      <c r="S5" s="126" t="str">
        <f t="shared" si="7"/>
        <v/>
      </c>
      <c r="T5" s="185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7" t="s">
        <v>575</v>
      </c>
      <c r="V5" s="187" t="s">
        <v>576</v>
      </c>
      <c r="W5" s="187" t="s">
        <v>577</v>
      </c>
      <c r="X5" s="187" t="s">
        <v>578</v>
      </c>
      <c r="Y5" s="187" t="s">
        <v>579</v>
      </c>
    </row>
    <row r="6" spans="1:25" ht="45" x14ac:dyDescent="0.25">
      <c r="A6" s="42" t="str">
        <f t="shared" si="0"/>
        <v>B05</v>
      </c>
      <c r="B6" s="277" t="str">
        <f t="shared" si="8"/>
        <v>FORTHNET</v>
      </c>
      <c r="C6" s="39" t="str">
        <f t="shared" si="1"/>
        <v>Έμμεση</v>
      </c>
      <c r="D6" s="213">
        <f>IF(S3="",IF(ΓΕΝΙΚΑ!$B$20="ΝΑΙ",14668,""),"")</f>
        <v>14668</v>
      </c>
      <c r="E6" s="260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237">
        <v>0.81495720622684187</v>
      </c>
      <c r="I6" s="239">
        <f t="shared" si="2"/>
        <v>0.81</v>
      </c>
      <c r="J6" s="237">
        <v>5.2588738122916761</v>
      </c>
      <c r="K6" s="239">
        <f t="shared" si="3"/>
        <v>5.26</v>
      </c>
      <c r="L6" s="7">
        <f t="shared" si="4"/>
        <v>6</v>
      </c>
      <c r="M6" s="290"/>
      <c r="N6" s="247" t="str">
        <f t="shared" si="5"/>
        <v/>
      </c>
      <c r="O6" s="252" t="str">
        <f t="shared" si="9"/>
        <v xml:space="preserve">Μέσω Καταστημάτων: Ωράριο καταστημάτων 
Μέσω Τηλεφώνου 13831:  Δευτέρα - Κυριακή: 07:00-23:00 </v>
      </c>
      <c r="P6" s="253" t="str">
        <f t="shared" si="6"/>
        <v>Οποτεδήποτε μέσα σε 8 ώρες</v>
      </c>
      <c r="Q6" s="254" t="str">
        <f t="shared" si="6"/>
        <v/>
      </c>
      <c r="S6" s="126" t="str">
        <f t="shared" si="7"/>
        <v/>
      </c>
      <c r="T6" s="185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7" t="s">
        <v>575</v>
      </c>
      <c r="V6" s="187" t="s">
        <v>576</v>
      </c>
      <c r="W6" s="187" t="s">
        <v>577</v>
      </c>
      <c r="X6" s="187" t="s">
        <v>578</v>
      </c>
      <c r="Y6" s="187" t="s">
        <v>579</v>
      </c>
    </row>
    <row r="7" spans="1:25" ht="45" x14ac:dyDescent="0.25">
      <c r="A7" s="42" t="str">
        <f t="shared" si="0"/>
        <v>B05</v>
      </c>
      <c r="B7" s="277" t="str">
        <f t="shared" si="8"/>
        <v>FORTHNET</v>
      </c>
      <c r="C7" s="39" t="str">
        <f t="shared" si="1"/>
        <v>Έμμεση</v>
      </c>
      <c r="D7" s="226">
        <f>IF(S7="",IF(ΓΕΝΙΚΑ!$B$20="ΝΑΙ",14670,""),"")</f>
        <v>14670</v>
      </c>
      <c r="E7" s="261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237">
        <v>0.6706894226903517</v>
      </c>
      <c r="I7" s="239">
        <f t="shared" si="2"/>
        <v>0.67</v>
      </c>
      <c r="J7" s="237">
        <v>6.0086045587911299</v>
      </c>
      <c r="K7" s="239">
        <f t="shared" si="3"/>
        <v>6.01</v>
      </c>
      <c r="L7" s="7">
        <f t="shared" si="4"/>
        <v>7</v>
      </c>
      <c r="M7" s="290"/>
      <c r="N7" s="247" t="str">
        <f t="shared" si="5"/>
        <v/>
      </c>
      <c r="O7" s="252" t="str">
        <f t="shared" si="9"/>
        <v xml:space="preserve">Μέσω Καταστημάτων: Ωράριο καταστημάτων 
Μέσω Τηλεφώνου 13831:  Δευτέρα - Κυριακή: 07:00-23:00 </v>
      </c>
      <c r="P7" s="253" t="str">
        <f t="shared" si="6"/>
        <v>Οποτεδήποτε μέσα σε 8 ώρες</v>
      </c>
      <c r="Q7" s="254" t="str">
        <f t="shared" si="6"/>
        <v/>
      </c>
      <c r="S7" s="126" t="str">
        <f t="shared" si="7"/>
        <v/>
      </c>
      <c r="T7" s="185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7" t="s">
        <v>575</v>
      </c>
      <c r="V7" s="187" t="s">
        <v>576</v>
      </c>
      <c r="W7" s="187" t="s">
        <v>577</v>
      </c>
      <c r="X7" s="187" t="s">
        <v>578</v>
      </c>
      <c r="Y7" s="187" t="s">
        <v>579</v>
      </c>
    </row>
    <row r="8" spans="1:25" ht="45" x14ac:dyDescent="0.25">
      <c r="A8" s="42" t="str">
        <f t="shared" si="0"/>
        <v>B05</v>
      </c>
      <c r="B8" s="277" t="str">
        <f t="shared" si="8"/>
        <v>FORTHNET</v>
      </c>
      <c r="C8" s="39" t="str">
        <f t="shared" si="1"/>
        <v>Έμμεση</v>
      </c>
      <c r="D8" s="213">
        <f>IF(S8="",IF(ΓΕΝΙΚΑ!$B$20="ΝΑΙ",14672,""),"")</f>
        <v>14672</v>
      </c>
      <c r="E8" s="260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237">
        <v>0.38017673843253913</v>
      </c>
      <c r="I8" s="239">
        <f t="shared" si="2"/>
        <v>0.38</v>
      </c>
      <c r="J8" s="237">
        <v>5.8064667800859793</v>
      </c>
      <c r="K8" s="239">
        <f t="shared" si="3"/>
        <v>5.81</v>
      </c>
      <c r="L8" s="7">
        <f t="shared" si="4"/>
        <v>6</v>
      </c>
      <c r="M8" s="290"/>
      <c r="N8" s="247" t="str">
        <f t="shared" si="5"/>
        <v/>
      </c>
      <c r="O8" s="252" t="str">
        <f t="shared" si="9"/>
        <v xml:space="preserve">Μέσω Καταστημάτων: Ωράριο καταστημάτων 
Μέσω Τηλεφώνου 13831:  Δευτέρα - Κυριακή: 07:00-23:00 </v>
      </c>
      <c r="P8" s="253" t="str">
        <f t="shared" si="6"/>
        <v>Οποτεδήποτε μέσα σε 8 ώρες</v>
      </c>
      <c r="Q8" s="254" t="str">
        <f t="shared" si="6"/>
        <v/>
      </c>
      <c r="S8" s="126" t="str">
        <f t="shared" si="7"/>
        <v/>
      </c>
      <c r="T8" s="185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7" t="s">
        <v>575</v>
      </c>
      <c r="V8" s="187" t="s">
        <v>576</v>
      </c>
      <c r="W8" s="187" t="s">
        <v>577</v>
      </c>
      <c r="X8" s="187" t="s">
        <v>578</v>
      </c>
      <c r="Y8" s="187" t="s">
        <v>579</v>
      </c>
    </row>
    <row r="9" spans="1:25" ht="45" x14ac:dyDescent="0.25">
      <c r="A9" s="42" t="str">
        <f t="shared" si="0"/>
        <v>B05</v>
      </c>
      <c r="B9" s="277" t="str">
        <f t="shared" si="8"/>
        <v>FORTHNET</v>
      </c>
      <c r="C9" s="39" t="str">
        <f t="shared" si="1"/>
        <v>Έμμεση</v>
      </c>
      <c r="D9" s="226">
        <f>IF(S9="",IF(ΓΕΝΙΚΑ!$B$20="ΝΑΙ",14674,""),"")</f>
        <v>14674</v>
      </c>
      <c r="E9" s="261" t="str">
        <f>IF(ΓΕΝΙΚΑ!$B$20="ΝΑΙ","Π. ΗΠΕΙΡΟΥ","")</f>
        <v>Π. ΗΠΕΙΡΟΥ</v>
      </c>
      <c r="F9" s="7" t="s">
        <v>407</v>
      </c>
      <c r="G9" s="7">
        <v>50</v>
      </c>
      <c r="H9" s="237">
        <v>0.38583116428904302</v>
      </c>
      <c r="I9" s="239">
        <f t="shared" si="2"/>
        <v>0.39</v>
      </c>
      <c r="J9" s="237">
        <v>6.4675253171924378</v>
      </c>
      <c r="K9" s="239">
        <f t="shared" si="3"/>
        <v>6.47</v>
      </c>
      <c r="L9" s="7">
        <f t="shared" si="4"/>
        <v>7</v>
      </c>
      <c r="M9" s="290"/>
      <c r="N9" s="247" t="str">
        <f t="shared" si="5"/>
        <v/>
      </c>
      <c r="O9" s="252" t="str">
        <f t="shared" si="9"/>
        <v xml:space="preserve">Μέσω Καταστημάτων: Ωράριο καταστημάτων 
Μέσω Τηλεφώνου 13831:  Δευτέρα - Κυριακή: 07:00-23:00 </v>
      </c>
      <c r="P9" s="253" t="str">
        <f t="shared" si="6"/>
        <v>Οποτεδήποτε μέσα σε 8 ώρες</v>
      </c>
      <c r="Q9" s="254" t="str">
        <f t="shared" si="6"/>
        <v/>
      </c>
      <c r="S9" s="126" t="str">
        <f t="shared" si="7"/>
        <v/>
      </c>
      <c r="T9" s="185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7" t="s">
        <v>575</v>
      </c>
      <c r="V9" s="187" t="s">
        <v>576</v>
      </c>
      <c r="W9" s="187" t="s">
        <v>577</v>
      </c>
      <c r="X9" s="187" t="s">
        <v>578</v>
      </c>
      <c r="Y9" s="187" t="s">
        <v>579</v>
      </c>
    </row>
    <row r="10" spans="1:25" ht="45" x14ac:dyDescent="0.25">
      <c r="A10" s="42" t="str">
        <f t="shared" si="0"/>
        <v>B05</v>
      </c>
      <c r="B10" s="277" t="str">
        <f t="shared" si="8"/>
        <v>FORTHNET</v>
      </c>
      <c r="C10" s="39" t="str">
        <f t="shared" si="1"/>
        <v>Έμμεση</v>
      </c>
      <c r="D10" s="213">
        <f>IF(S10="",IF(ΓΕΝΙΚΑ!$B$20="ΝΑΙ",14676,""),"")</f>
        <v>14676</v>
      </c>
      <c r="E10" s="260" t="str">
        <f>IF(ΓΕΝΙΚΑ!$B$20="ΝΑΙ","Π. ΘΕΣΣΑΛΙΑΣ","")</f>
        <v>Π. ΘΕΣΣΑΛΙΑΣ</v>
      </c>
      <c r="F10" s="24" t="s">
        <v>408</v>
      </c>
      <c r="G10" s="24">
        <v>50</v>
      </c>
      <c r="H10" s="237">
        <v>0.4740451482769899</v>
      </c>
      <c r="I10" s="239">
        <f t="shared" si="2"/>
        <v>0.47</v>
      </c>
      <c r="J10" s="237">
        <v>6.4821238332044917</v>
      </c>
      <c r="K10" s="239">
        <f t="shared" si="3"/>
        <v>6.48</v>
      </c>
      <c r="L10" s="7">
        <f t="shared" si="4"/>
        <v>7</v>
      </c>
      <c r="M10" s="290"/>
      <c r="N10" s="247" t="str">
        <f t="shared" si="5"/>
        <v/>
      </c>
      <c r="O10" s="252" t="str">
        <f t="shared" si="9"/>
        <v xml:space="preserve">Μέσω Καταστημάτων: Ωράριο καταστημάτων 
Μέσω Τηλεφώνου 13831:  Δευτέρα - Κυριακή: 07:00-23:00 </v>
      </c>
      <c r="P10" s="253" t="str">
        <f t="shared" si="6"/>
        <v>Οποτεδήποτε μέσα σε 8 ώρες</v>
      </c>
      <c r="Q10" s="254" t="str">
        <f t="shared" si="6"/>
        <v/>
      </c>
      <c r="S10" s="126" t="str">
        <f t="shared" si="7"/>
        <v/>
      </c>
      <c r="T10" s="185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7" t="s">
        <v>575</v>
      </c>
      <c r="V10" s="187" t="s">
        <v>576</v>
      </c>
      <c r="W10" s="187" t="s">
        <v>577</v>
      </c>
      <c r="X10" s="187" t="s">
        <v>578</v>
      </c>
      <c r="Y10" s="187" t="s">
        <v>579</v>
      </c>
    </row>
    <row r="11" spans="1:25" ht="45" x14ac:dyDescent="0.25">
      <c r="A11" s="42" t="str">
        <f t="shared" si="0"/>
        <v>B05</v>
      </c>
      <c r="B11" s="277" t="str">
        <f t="shared" si="8"/>
        <v>FORTHNET</v>
      </c>
      <c r="C11" s="39" t="str">
        <f t="shared" si="1"/>
        <v>Έμμεση</v>
      </c>
      <c r="D11" s="226">
        <f>IF(S11="",IF(ΓΕΝΙΚΑ!$B$20="ΝΑΙ",14678,""),"")</f>
        <v>14678</v>
      </c>
      <c r="E11" s="261" t="str">
        <f>IF(ΓΕΝΙΚΑ!$B$20="ΝΑΙ","Π. ΙΟΝΙΩΝ ΝΗΣΩΝ","")</f>
        <v>Π. ΙΟΝΙΩΝ ΝΗΣΩΝ</v>
      </c>
      <c r="F11" s="7" t="s">
        <v>409</v>
      </c>
      <c r="G11" s="7">
        <v>50</v>
      </c>
      <c r="H11" s="237">
        <v>0.75686040419727962</v>
      </c>
      <c r="I11" s="239">
        <f t="shared" si="2"/>
        <v>0.76</v>
      </c>
      <c r="J11" s="237">
        <v>5.8643664476545725</v>
      </c>
      <c r="K11" s="239">
        <f t="shared" si="3"/>
        <v>5.86</v>
      </c>
      <c r="L11" s="7">
        <f t="shared" si="4"/>
        <v>7</v>
      </c>
      <c r="M11" s="290"/>
      <c r="N11" s="247" t="str">
        <f t="shared" si="5"/>
        <v/>
      </c>
      <c r="O11" s="252" t="str">
        <f t="shared" si="9"/>
        <v xml:space="preserve">Μέσω Καταστημάτων: Ωράριο καταστημάτων 
Μέσω Τηλεφώνου 13831:  Δευτέρα - Κυριακή: 07:00-23:00 </v>
      </c>
      <c r="P11" s="253" t="str">
        <f t="shared" si="6"/>
        <v>Οποτεδήποτε μέσα σε 8 ώρες</v>
      </c>
      <c r="Q11" s="254" t="str">
        <f t="shared" si="6"/>
        <v/>
      </c>
      <c r="S11" s="126" t="str">
        <f t="shared" si="7"/>
        <v/>
      </c>
      <c r="T11" s="185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7" t="s">
        <v>575</v>
      </c>
      <c r="V11" s="187" t="s">
        <v>576</v>
      </c>
      <c r="W11" s="187" t="s">
        <v>577</v>
      </c>
      <c r="X11" s="187" t="s">
        <v>578</v>
      </c>
      <c r="Y11" s="187" t="s">
        <v>579</v>
      </c>
    </row>
    <row r="12" spans="1:25" ht="45" x14ac:dyDescent="0.25">
      <c r="A12" s="42" t="str">
        <f t="shared" si="0"/>
        <v>B05</v>
      </c>
      <c r="B12" s="277" t="str">
        <f t="shared" si="8"/>
        <v>FORTHNET</v>
      </c>
      <c r="C12" s="39" t="str">
        <f t="shared" si="1"/>
        <v>Έμμεση</v>
      </c>
      <c r="D12" s="213">
        <f>IF(S12="",IF(ΓΕΝΙΚΑ!$B$20="ΝΑΙ",14680,""),"")</f>
        <v>14680</v>
      </c>
      <c r="E12" s="260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237">
        <v>0.75441493374035351</v>
      </c>
      <c r="I12" s="239">
        <f t="shared" si="2"/>
        <v>0.75</v>
      </c>
      <c r="J12" s="237">
        <v>7.1283165477411279</v>
      </c>
      <c r="K12" s="239">
        <f t="shared" si="3"/>
        <v>7.13</v>
      </c>
      <c r="L12" s="7">
        <f t="shared" si="4"/>
        <v>8</v>
      </c>
      <c r="M12" s="290"/>
      <c r="N12" s="247" t="str">
        <f t="shared" si="5"/>
        <v/>
      </c>
      <c r="O12" s="252" t="str">
        <f t="shared" si="9"/>
        <v xml:space="preserve">Μέσω Καταστημάτων: Ωράριο καταστημάτων 
Μέσω Τηλεφώνου 13831:  Δευτέρα - Κυριακή: 07:00-23:00 </v>
      </c>
      <c r="P12" s="253" t="str">
        <f t="shared" si="6"/>
        <v>Οποτεδήποτε μέσα σε 8 ώρες</v>
      </c>
      <c r="Q12" s="254" t="str">
        <f t="shared" si="6"/>
        <v/>
      </c>
      <c r="S12" s="126" t="str">
        <f t="shared" si="7"/>
        <v/>
      </c>
      <c r="T12" s="185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7" t="s">
        <v>575</v>
      </c>
      <c r="V12" s="187" t="s">
        <v>576</v>
      </c>
      <c r="W12" s="187" t="s">
        <v>577</v>
      </c>
      <c r="X12" s="187" t="s">
        <v>578</v>
      </c>
      <c r="Y12" s="187" t="s">
        <v>579</v>
      </c>
    </row>
    <row r="13" spans="1:25" ht="45" x14ac:dyDescent="0.25">
      <c r="A13" s="42" t="str">
        <f t="shared" si="0"/>
        <v>B05</v>
      </c>
      <c r="B13" s="277" t="str">
        <f t="shared" si="8"/>
        <v>FORTHNET</v>
      </c>
      <c r="C13" s="39" t="str">
        <f t="shared" si="1"/>
        <v>Έμμεση</v>
      </c>
      <c r="D13" s="226">
        <f>IF(S13="",IF(ΓΕΝΙΚΑ!$B$20="ΝΑΙ",14682,""),"")</f>
        <v>14682</v>
      </c>
      <c r="E13" s="261" t="str">
        <f>IF(ΓΕΝΙΚΑ!$B$20="ΝΑΙ","Π. ΚΡΗΤΗΣ","")</f>
        <v>Π. ΚΡΗΤΗΣ</v>
      </c>
      <c r="F13" s="7" t="s">
        <v>411</v>
      </c>
      <c r="G13" s="7">
        <v>50</v>
      </c>
      <c r="H13" s="237">
        <v>0.75567603868952271</v>
      </c>
      <c r="I13" s="239">
        <f t="shared" si="2"/>
        <v>0.76</v>
      </c>
      <c r="J13" s="237">
        <v>6.4324026650141803</v>
      </c>
      <c r="K13" s="239">
        <f t="shared" si="3"/>
        <v>6.43</v>
      </c>
      <c r="L13" s="7">
        <f t="shared" si="4"/>
        <v>7</v>
      </c>
      <c r="M13" s="290"/>
      <c r="N13" s="247" t="str">
        <f t="shared" si="5"/>
        <v/>
      </c>
      <c r="O13" s="252" t="str">
        <f t="shared" si="9"/>
        <v xml:space="preserve">Μέσω Καταστημάτων: Ωράριο καταστημάτων 
Μέσω Τηλεφώνου 13831:  Δευτέρα - Κυριακή: 07:00-23:00 </v>
      </c>
      <c r="P13" s="253" t="str">
        <f t="shared" si="6"/>
        <v>Οποτεδήποτε μέσα σε 8 ώρες</v>
      </c>
      <c r="Q13" s="254" t="str">
        <f t="shared" si="6"/>
        <v/>
      </c>
      <c r="S13" s="126" t="str">
        <f t="shared" si="7"/>
        <v/>
      </c>
      <c r="T13" s="185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7" t="s">
        <v>575</v>
      </c>
      <c r="V13" s="187" t="s">
        <v>576</v>
      </c>
      <c r="W13" s="187" t="s">
        <v>577</v>
      </c>
      <c r="X13" s="187" t="s">
        <v>578</v>
      </c>
      <c r="Y13" s="187" t="s">
        <v>579</v>
      </c>
    </row>
    <row r="14" spans="1:25" ht="45" x14ac:dyDescent="0.25">
      <c r="A14" s="42" t="str">
        <f t="shared" si="0"/>
        <v>B05</v>
      </c>
      <c r="B14" s="277" t="str">
        <f t="shared" si="8"/>
        <v>FORTHNET</v>
      </c>
      <c r="C14" s="39" t="str">
        <f t="shared" si="1"/>
        <v>Έμμεση</v>
      </c>
      <c r="D14" s="213">
        <f>IF(S14="",IF(ΓΕΝΙΚΑ!$B$20="ΝΑΙ",14684,""),"")</f>
        <v>14684</v>
      </c>
      <c r="E14" s="260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237">
        <v>1.5080966196909464</v>
      </c>
      <c r="I14" s="239">
        <f t="shared" si="2"/>
        <v>1.51</v>
      </c>
      <c r="J14" s="237">
        <v>7.7007922691979438</v>
      </c>
      <c r="K14" s="239">
        <f t="shared" si="3"/>
        <v>7.7</v>
      </c>
      <c r="L14" s="7">
        <f t="shared" si="4"/>
        <v>9</v>
      </c>
      <c r="M14" s="290"/>
      <c r="N14" s="247" t="str">
        <f t="shared" si="5"/>
        <v/>
      </c>
      <c r="O14" s="252" t="str">
        <f t="shared" si="9"/>
        <v xml:space="preserve">Μέσω Καταστημάτων: Ωράριο καταστημάτων 
Μέσω Τηλεφώνου 13831:  Δευτέρα - Κυριακή: 07:00-23:00 </v>
      </c>
      <c r="P14" s="253" t="str">
        <f t="shared" si="6"/>
        <v>Οποτεδήποτε μέσα σε 8 ώρες</v>
      </c>
      <c r="Q14" s="254" t="str">
        <f t="shared" si="6"/>
        <v/>
      </c>
      <c r="S14" s="126" t="str">
        <f t="shared" si="7"/>
        <v/>
      </c>
      <c r="T14" s="185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7" t="s">
        <v>575</v>
      </c>
      <c r="V14" s="187" t="s">
        <v>576</v>
      </c>
      <c r="W14" s="187" t="s">
        <v>577</v>
      </c>
      <c r="X14" s="187" t="s">
        <v>578</v>
      </c>
      <c r="Y14" s="187" t="s">
        <v>579</v>
      </c>
    </row>
    <row r="15" spans="1:25" ht="45" x14ac:dyDescent="0.25">
      <c r="A15" s="42" t="str">
        <f t="shared" si="0"/>
        <v>B05</v>
      </c>
      <c r="B15" s="277" t="str">
        <f t="shared" si="8"/>
        <v>FORTHNET</v>
      </c>
      <c r="C15" s="39" t="str">
        <f t="shared" si="1"/>
        <v>Έμμεση</v>
      </c>
      <c r="D15" s="226">
        <f>IF(S15="",IF(ΓΕΝΙΚΑ!$B$20="ΝΑΙ",14686,""),"")</f>
        <v>14686</v>
      </c>
      <c r="E15" s="261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237">
        <v>0.7215904355582643</v>
      </c>
      <c r="I15" s="239">
        <f t="shared" si="2"/>
        <v>0.72</v>
      </c>
      <c r="J15" s="237">
        <v>5.9980507681454398</v>
      </c>
      <c r="K15" s="239">
        <f t="shared" si="3"/>
        <v>6</v>
      </c>
      <c r="L15" s="7">
        <f t="shared" si="4"/>
        <v>7</v>
      </c>
      <c r="M15" s="290"/>
      <c r="N15" s="247" t="str">
        <f t="shared" si="5"/>
        <v/>
      </c>
      <c r="O15" s="252" t="str">
        <f t="shared" si="9"/>
        <v xml:space="preserve">Μέσω Καταστημάτων: Ωράριο καταστημάτων 
Μέσω Τηλεφώνου 13831:  Δευτέρα - Κυριακή: 07:00-23:00 </v>
      </c>
      <c r="P15" s="253" t="str">
        <f t="shared" si="6"/>
        <v>Οποτεδήποτε μέσα σε 8 ώρες</v>
      </c>
      <c r="Q15" s="254" t="str">
        <f t="shared" si="6"/>
        <v/>
      </c>
      <c r="S15" s="126" t="str">
        <f t="shared" si="7"/>
        <v/>
      </c>
      <c r="T15" s="185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7" t="s">
        <v>575</v>
      </c>
      <c r="V15" s="187" t="s">
        <v>576</v>
      </c>
      <c r="W15" s="187" t="s">
        <v>577</v>
      </c>
      <c r="X15" s="187" t="s">
        <v>578</v>
      </c>
      <c r="Y15" s="187" t="s">
        <v>579</v>
      </c>
    </row>
    <row r="16" spans="1:25" ht="45.75" thickBot="1" x14ac:dyDescent="0.3">
      <c r="A16" s="42" t="str">
        <f t="shared" si="0"/>
        <v>B05</v>
      </c>
      <c r="B16" s="277" t="str">
        <f t="shared" si="8"/>
        <v>FORTHNET</v>
      </c>
      <c r="C16" s="39" t="str">
        <f t="shared" si="1"/>
        <v>Έμμεση</v>
      </c>
      <c r="D16" s="214">
        <f>IF(S16="",IF(ΓΕΝΙΚΑ!$B$20="ΝΑΙ",14688,""),"")</f>
        <v>14688</v>
      </c>
      <c r="E16" s="262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237">
        <v>0.54340722859487967</v>
      </c>
      <c r="I16" s="239">
        <f t="shared" si="2"/>
        <v>0.54</v>
      </c>
      <c r="J16" s="237">
        <v>6.1979122158495645</v>
      </c>
      <c r="K16" s="239">
        <f t="shared" si="3"/>
        <v>6.2</v>
      </c>
      <c r="L16" s="6">
        <f t="shared" si="4"/>
        <v>7</v>
      </c>
      <c r="M16" s="291"/>
      <c r="N16" s="247" t="str">
        <f t="shared" si="5"/>
        <v/>
      </c>
      <c r="O16" s="252" t="str">
        <f t="shared" si="9"/>
        <v xml:space="preserve">Μέσω Καταστημάτων: Ωράριο καταστημάτων 
Μέσω Τηλεφώνου 13831:  Δευτέρα - Κυριακή: 07:00-23:00 </v>
      </c>
      <c r="P16" s="253" t="str">
        <f t="shared" si="6"/>
        <v>Οποτεδήποτε μέσα σε 8 ώρες</v>
      </c>
      <c r="Q16" s="254" t="str">
        <f t="shared" si="6"/>
        <v/>
      </c>
      <c r="S16" s="126" t="str">
        <f t="shared" si="7"/>
        <v/>
      </c>
      <c r="T16" s="185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7" t="s">
        <v>575</v>
      </c>
      <c r="V16" s="187" t="s">
        <v>576</v>
      </c>
      <c r="W16" s="187" t="s">
        <v>577</v>
      </c>
      <c r="X16" s="187" t="s">
        <v>578</v>
      </c>
      <c r="Y16" s="187" t="s">
        <v>579</v>
      </c>
    </row>
    <row r="17" spans="1:20" ht="45" x14ac:dyDescent="0.25">
      <c r="A17" s="42" t="str">
        <f t="shared" si="0"/>
        <v>B05</v>
      </c>
      <c r="B17" s="277" t="str">
        <f t="shared" si="8"/>
        <v>FORTHNET</v>
      </c>
      <c r="C17" s="39" t="str">
        <f t="shared" si="1"/>
        <v>Έμμεση</v>
      </c>
      <c r="D17" s="225">
        <f>IF(S17="",IF(ΓΕΝΙΚΑ!$B$20="ΝΑΙ",15300,""),"")</f>
        <v>15300</v>
      </c>
      <c r="E17" s="263" t="str">
        <f>IF(ΓΕΝΙΚΑ!$B$20="ΝΑΙ","ΠΑΝΕΛΛΑΔΙΚΑ","")</f>
        <v>ΠΑΝΕΛΛΑΔΙΚΑ</v>
      </c>
      <c r="F17" s="8" t="s">
        <v>555</v>
      </c>
      <c r="G17" s="5">
        <v>95</v>
      </c>
      <c r="H17" s="237">
        <v>6.5292257237050508</v>
      </c>
      <c r="I17" s="239">
        <f t="shared" si="2"/>
        <v>6.53</v>
      </c>
      <c r="J17" s="237">
        <v>24.455739554072725</v>
      </c>
      <c r="K17" s="239">
        <f t="shared" si="3"/>
        <v>24.46</v>
      </c>
      <c r="L17" s="5">
        <f t="shared" si="4"/>
        <v>31</v>
      </c>
      <c r="M17" s="34">
        <f>M3</f>
        <v>0</v>
      </c>
      <c r="N17" s="223" t="str">
        <f>N3</f>
        <v/>
      </c>
      <c r="O17" s="253" t="str">
        <f t="shared" si="9"/>
        <v xml:space="preserve">Μέσω Καταστημάτων: Ωράριο καταστημάτων 
Μέσω Τηλεφώνου 13831:  Δευτέρα - Κυριακή: 07:00-23:00 </v>
      </c>
      <c r="P17" s="253" t="str">
        <f t="shared" si="6"/>
        <v>Οποτεδήποτε μέσα σε 8 ώρες</v>
      </c>
      <c r="Q17" s="254" t="str">
        <f t="shared" si="6"/>
        <v/>
      </c>
      <c r="S17" s="126" t="str">
        <f t="shared" si="7"/>
        <v/>
      </c>
      <c r="T17" s="185" t="str">
        <f>IF(L17="",U3,"")</f>
        <v/>
      </c>
    </row>
    <row r="18" spans="1:20" ht="45" x14ac:dyDescent="0.25">
      <c r="A18" s="42" t="str">
        <f t="shared" si="0"/>
        <v>B05</v>
      </c>
      <c r="B18" s="277" t="str">
        <f t="shared" si="8"/>
        <v>FORTHNET</v>
      </c>
      <c r="C18" s="39" t="str">
        <f t="shared" si="1"/>
        <v>Έμμεση</v>
      </c>
      <c r="D18" s="213">
        <f>IF(S18="",IF(ΓΕΝΙΚΑ!$B$20="ΝΑΙ",14664,""),"")</f>
        <v>14664</v>
      </c>
      <c r="E18" s="260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237">
        <v>6.6756065130734381</v>
      </c>
      <c r="I18" s="239">
        <f t="shared" si="2"/>
        <v>6.68</v>
      </c>
      <c r="J18" s="237">
        <v>25.300932838778412</v>
      </c>
      <c r="K18" s="239">
        <f t="shared" si="3"/>
        <v>25.3</v>
      </c>
      <c r="L18" s="7">
        <f t="shared" si="4"/>
        <v>32</v>
      </c>
      <c r="M18" s="34">
        <f>M4</f>
        <v>0</v>
      </c>
      <c r="N18" s="223" t="str">
        <f t="shared" ref="N18:N30" si="10">N4</f>
        <v/>
      </c>
      <c r="O18" s="253" t="str">
        <f t="shared" si="9"/>
        <v xml:space="preserve">Μέσω Καταστημάτων: Ωράριο καταστημάτων 
Μέσω Τηλεφώνου 13831:  Δευτέρα - Κυριακή: 07:00-23:00 </v>
      </c>
      <c r="P18" s="253" t="str">
        <f t="shared" si="6"/>
        <v>Οποτεδήποτε μέσα σε 8 ώρες</v>
      </c>
      <c r="Q18" s="254" t="str">
        <f t="shared" si="6"/>
        <v/>
      </c>
      <c r="S18" s="126" t="str">
        <f t="shared" si="7"/>
        <v/>
      </c>
      <c r="T18" s="185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45" x14ac:dyDescent="0.25">
      <c r="A19" s="42" t="str">
        <f t="shared" si="0"/>
        <v>B05</v>
      </c>
      <c r="B19" s="277" t="str">
        <f t="shared" si="8"/>
        <v>FORTHNET</v>
      </c>
      <c r="C19" s="39" t="str">
        <f t="shared" si="1"/>
        <v>Έμμεση</v>
      </c>
      <c r="D19" s="226">
        <f>IF(S19="",IF(ΓΕΝΙΚΑ!$B$20="ΝΑΙ",14666,""),"")</f>
        <v>14666</v>
      </c>
      <c r="E19" s="261" t="str">
        <f>IF(ΓΕΝΙΚΑ!$B$20="ΝΑΙ","Π. ΑΤΤΙΚΗΣ","")</f>
        <v>Π. ΑΤΤΙΚΗΣ</v>
      </c>
      <c r="F19" s="7" t="s">
        <v>40</v>
      </c>
      <c r="G19" s="7">
        <v>95</v>
      </c>
      <c r="H19" s="237">
        <v>6.813102092808041</v>
      </c>
      <c r="I19" s="239">
        <f t="shared" si="2"/>
        <v>6.81</v>
      </c>
      <c r="J19" s="237">
        <v>23.664895592377142</v>
      </c>
      <c r="K19" s="239">
        <f t="shared" si="3"/>
        <v>23.66</v>
      </c>
      <c r="L19" s="7">
        <f t="shared" si="4"/>
        <v>30</v>
      </c>
      <c r="M19" s="34">
        <f t="shared" ref="M19:M30" si="11">M5</f>
        <v>0</v>
      </c>
      <c r="N19" s="223" t="str">
        <f t="shared" si="10"/>
        <v/>
      </c>
      <c r="O19" s="253" t="str">
        <f t="shared" si="9"/>
        <v xml:space="preserve">Μέσω Καταστημάτων: Ωράριο καταστημάτων 
Μέσω Τηλεφώνου 13831:  Δευτέρα - Κυριακή: 07:00-23:00 </v>
      </c>
      <c r="P19" s="253" t="str">
        <f t="shared" si="6"/>
        <v>Οποτεδήποτε μέσα σε 8 ώρες</v>
      </c>
      <c r="Q19" s="254" t="str">
        <f t="shared" si="6"/>
        <v/>
      </c>
      <c r="S19" s="126" t="str">
        <f t="shared" si="7"/>
        <v/>
      </c>
      <c r="T19" s="185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45" x14ac:dyDescent="0.25">
      <c r="A20" s="42" t="str">
        <f t="shared" si="0"/>
        <v>B05</v>
      </c>
      <c r="B20" s="277" t="str">
        <f t="shared" si="8"/>
        <v>FORTHNET</v>
      </c>
      <c r="C20" s="39" t="str">
        <f t="shared" si="1"/>
        <v>Έμμεση</v>
      </c>
      <c r="D20" s="213">
        <f>IF(S17="",IF(ΓΕΝΙΚΑ!$B$20="ΝΑΙ",14668,""),"")</f>
        <v>14668</v>
      </c>
      <c r="E20" s="260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237">
        <v>4.9495490939690416</v>
      </c>
      <c r="I20" s="239">
        <f t="shared" si="2"/>
        <v>4.95</v>
      </c>
      <c r="J20" s="237">
        <v>24.137997202327252</v>
      </c>
      <c r="K20" s="239">
        <f t="shared" si="3"/>
        <v>24.14</v>
      </c>
      <c r="L20" s="7">
        <f t="shared" si="4"/>
        <v>29</v>
      </c>
      <c r="M20" s="34">
        <f t="shared" si="11"/>
        <v>0</v>
      </c>
      <c r="N20" s="223" t="str">
        <f t="shared" si="10"/>
        <v/>
      </c>
      <c r="O20" s="253" t="str">
        <f t="shared" si="9"/>
        <v xml:space="preserve">Μέσω Καταστημάτων: Ωράριο καταστημάτων 
Μέσω Τηλεφώνου 13831:  Δευτέρα - Κυριακή: 07:00-23:00 </v>
      </c>
      <c r="P20" s="253" t="str">
        <f t="shared" si="6"/>
        <v>Οποτεδήποτε μέσα σε 8 ώρες</v>
      </c>
      <c r="Q20" s="254" t="str">
        <f t="shared" si="6"/>
        <v/>
      </c>
      <c r="S20" s="126" t="str">
        <f t="shared" si="7"/>
        <v/>
      </c>
      <c r="T20" s="185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45" x14ac:dyDescent="0.25">
      <c r="A21" s="42" t="str">
        <f t="shared" si="0"/>
        <v>B05</v>
      </c>
      <c r="B21" s="277" t="str">
        <f t="shared" si="8"/>
        <v>FORTHNET</v>
      </c>
      <c r="C21" s="39" t="str">
        <f t="shared" si="1"/>
        <v>Έμμεση</v>
      </c>
      <c r="D21" s="226">
        <f>IF(S21="",IF(ΓΕΝΙΚΑ!$B$20="ΝΑΙ",14670,""),"")</f>
        <v>14670</v>
      </c>
      <c r="E21" s="261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237">
        <v>5.1496224539807001</v>
      </c>
      <c r="I21" s="239">
        <f t="shared" si="2"/>
        <v>5.15</v>
      </c>
      <c r="J21" s="237">
        <v>19.730400694167447</v>
      </c>
      <c r="K21" s="239">
        <f t="shared" si="3"/>
        <v>19.73</v>
      </c>
      <c r="L21" s="7">
        <f t="shared" si="4"/>
        <v>25</v>
      </c>
      <c r="M21" s="34">
        <f t="shared" si="11"/>
        <v>0</v>
      </c>
      <c r="N21" s="223" t="str">
        <f t="shared" si="10"/>
        <v/>
      </c>
      <c r="O21" s="253" t="str">
        <f t="shared" si="9"/>
        <v xml:space="preserve">Μέσω Καταστημάτων: Ωράριο καταστημάτων 
Μέσω Τηλεφώνου 13831:  Δευτέρα - Κυριακή: 07:00-23:00 </v>
      </c>
      <c r="P21" s="253" t="str">
        <f t="shared" si="6"/>
        <v>Οποτεδήποτε μέσα σε 8 ώρες</v>
      </c>
      <c r="Q21" s="254" t="str">
        <f t="shared" si="6"/>
        <v/>
      </c>
      <c r="S21" s="126" t="str">
        <f t="shared" si="7"/>
        <v/>
      </c>
      <c r="T21" s="185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45" x14ac:dyDescent="0.25">
      <c r="A22" s="42" t="str">
        <f t="shared" si="0"/>
        <v>B05</v>
      </c>
      <c r="B22" s="277" t="str">
        <f t="shared" si="8"/>
        <v>FORTHNET</v>
      </c>
      <c r="C22" s="39" t="str">
        <f t="shared" si="1"/>
        <v>Έμμεση</v>
      </c>
      <c r="D22" s="213">
        <f>IF(S22="",IF(ΓΕΝΙΚΑ!$B$20="ΝΑΙ",14672,""),"")</f>
        <v>14672</v>
      </c>
      <c r="E22" s="260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237">
        <v>3.1683455643446958</v>
      </c>
      <c r="I22" s="239">
        <f t="shared" si="2"/>
        <v>3.17</v>
      </c>
      <c r="J22" s="237">
        <v>20.503888231951599</v>
      </c>
      <c r="K22" s="239">
        <f t="shared" si="3"/>
        <v>20.5</v>
      </c>
      <c r="L22" s="7">
        <f t="shared" si="4"/>
        <v>24</v>
      </c>
      <c r="M22" s="34">
        <f t="shared" si="11"/>
        <v>0</v>
      </c>
      <c r="N22" s="223" t="str">
        <f t="shared" si="10"/>
        <v/>
      </c>
      <c r="O22" s="253" t="str">
        <f t="shared" si="9"/>
        <v xml:space="preserve">Μέσω Καταστημάτων: Ωράριο καταστημάτων 
Μέσω Τηλεφώνου 13831:  Δευτέρα - Κυριακή: 07:00-23:00 </v>
      </c>
      <c r="P22" s="253" t="str">
        <f t="shared" si="6"/>
        <v>Οποτεδήποτε μέσα σε 8 ώρες</v>
      </c>
      <c r="Q22" s="254" t="str">
        <f t="shared" si="6"/>
        <v/>
      </c>
      <c r="S22" s="126" t="str">
        <f t="shared" si="7"/>
        <v/>
      </c>
      <c r="T22" s="185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45" x14ac:dyDescent="0.25">
      <c r="A23" s="42" t="str">
        <f t="shared" si="0"/>
        <v>B05</v>
      </c>
      <c r="B23" s="277" t="str">
        <f t="shared" si="8"/>
        <v>FORTHNET</v>
      </c>
      <c r="C23" s="39" t="str">
        <f t="shared" si="1"/>
        <v>Έμμεση</v>
      </c>
      <c r="D23" s="226">
        <f>IF(S23="",IF(ΓΕΝΙΚΑ!$B$20="ΝΑΙ",14674,""),"")</f>
        <v>14674</v>
      </c>
      <c r="E23" s="261" t="str">
        <f>IF(ΓΕΝΙΚΑ!$B$20="ΝΑΙ","Π. ΗΠΕΙΡΟΥ","")</f>
        <v>Π. ΗΠΕΙΡΟΥ</v>
      </c>
      <c r="F23" s="7" t="s">
        <v>407</v>
      </c>
      <c r="G23" s="7">
        <v>95</v>
      </c>
      <c r="H23" s="237">
        <v>5.8180905342428106</v>
      </c>
      <c r="I23" s="239">
        <f t="shared" si="2"/>
        <v>5.82</v>
      </c>
      <c r="J23" s="237">
        <v>26.086296039831264</v>
      </c>
      <c r="K23" s="239">
        <f t="shared" si="3"/>
        <v>26.09</v>
      </c>
      <c r="L23" s="7">
        <f t="shared" si="4"/>
        <v>32</v>
      </c>
      <c r="M23" s="34">
        <f t="shared" si="11"/>
        <v>0</v>
      </c>
      <c r="N23" s="223" t="str">
        <f t="shared" si="10"/>
        <v/>
      </c>
      <c r="O23" s="253" t="str">
        <f t="shared" si="9"/>
        <v xml:space="preserve">Μέσω Καταστημάτων: Ωράριο καταστημάτων 
Μέσω Τηλεφώνου 13831:  Δευτέρα - Κυριακή: 07:00-23:00 </v>
      </c>
      <c r="P23" s="253" t="str">
        <f t="shared" si="6"/>
        <v>Οποτεδήποτε μέσα σε 8 ώρες</v>
      </c>
      <c r="Q23" s="254" t="str">
        <f t="shared" si="6"/>
        <v/>
      </c>
      <c r="S23" s="126" t="str">
        <f t="shared" si="7"/>
        <v/>
      </c>
      <c r="T23" s="185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45" x14ac:dyDescent="0.25">
      <c r="A24" s="42" t="str">
        <f t="shared" si="0"/>
        <v>B05</v>
      </c>
      <c r="B24" s="277" t="str">
        <f t="shared" si="8"/>
        <v>FORTHNET</v>
      </c>
      <c r="C24" s="39" t="str">
        <f t="shared" si="1"/>
        <v>Έμμεση</v>
      </c>
      <c r="D24" s="213">
        <f>IF(S24="",IF(ΓΕΝΙΚΑ!$B$20="ΝΑΙ",14676,""),"")</f>
        <v>14676</v>
      </c>
      <c r="E24" s="260" t="str">
        <f>IF(ΓΕΝΙΚΑ!$B$20="ΝΑΙ","Π. ΘΕΣΣΑΛΙΑΣ","")</f>
        <v>Π. ΘΕΣΣΑΛΙΑΣ</v>
      </c>
      <c r="F24" s="24" t="s">
        <v>408</v>
      </c>
      <c r="G24" s="24">
        <v>95</v>
      </c>
      <c r="H24" s="237">
        <v>4.1625990738424479</v>
      </c>
      <c r="I24" s="239">
        <f t="shared" si="2"/>
        <v>4.16</v>
      </c>
      <c r="J24" s="237">
        <v>26.670687963194592</v>
      </c>
      <c r="K24" s="239">
        <f t="shared" si="3"/>
        <v>26.67</v>
      </c>
      <c r="L24" s="7">
        <f t="shared" si="4"/>
        <v>31</v>
      </c>
      <c r="M24" s="34">
        <f t="shared" si="11"/>
        <v>0</v>
      </c>
      <c r="N24" s="223" t="str">
        <f t="shared" si="10"/>
        <v/>
      </c>
      <c r="O24" s="253" t="str">
        <f t="shared" si="9"/>
        <v xml:space="preserve">Μέσω Καταστημάτων: Ωράριο καταστημάτων 
Μέσω Τηλεφώνου 13831:  Δευτέρα - Κυριακή: 07:00-23:00 </v>
      </c>
      <c r="P24" s="253" t="str">
        <f t="shared" si="6"/>
        <v>Οποτεδήποτε μέσα σε 8 ώρες</v>
      </c>
      <c r="Q24" s="254" t="str">
        <f t="shared" si="6"/>
        <v/>
      </c>
      <c r="S24" s="126" t="str">
        <f t="shared" si="7"/>
        <v/>
      </c>
      <c r="T24" s="185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45" x14ac:dyDescent="0.25">
      <c r="A25" s="42" t="str">
        <f t="shared" si="0"/>
        <v>B05</v>
      </c>
      <c r="B25" s="277" t="str">
        <f t="shared" si="8"/>
        <v>FORTHNET</v>
      </c>
      <c r="C25" s="39" t="str">
        <f t="shared" si="1"/>
        <v>Έμμεση</v>
      </c>
      <c r="D25" s="226">
        <f>IF(S25="",IF(ΓΕΝΙΚΑ!$B$20="ΝΑΙ",14678,""),"")</f>
        <v>14678</v>
      </c>
      <c r="E25" s="261" t="str">
        <f>IF(ΓΕΝΙΚΑ!$B$20="ΝΑΙ","Π. ΙΟΝΙΩΝ ΝΗΣΩΝ","")</f>
        <v>Π. ΙΟΝΙΩΝ ΝΗΣΩΝ</v>
      </c>
      <c r="F25" s="7" t="s">
        <v>409</v>
      </c>
      <c r="G25" s="7">
        <v>95</v>
      </c>
      <c r="H25" s="237">
        <v>3.6797420906958056</v>
      </c>
      <c r="I25" s="239">
        <f t="shared" si="2"/>
        <v>3.68</v>
      </c>
      <c r="J25" s="237">
        <v>16.023313464859747</v>
      </c>
      <c r="K25" s="239">
        <f t="shared" si="3"/>
        <v>16.02</v>
      </c>
      <c r="L25" s="7">
        <f t="shared" si="4"/>
        <v>20</v>
      </c>
      <c r="M25" s="34">
        <f t="shared" si="11"/>
        <v>0</v>
      </c>
      <c r="N25" s="223" t="str">
        <f t="shared" si="10"/>
        <v/>
      </c>
      <c r="O25" s="253" t="str">
        <f t="shared" si="9"/>
        <v xml:space="preserve">Μέσω Καταστημάτων: Ωράριο καταστημάτων 
Μέσω Τηλεφώνου 13831:  Δευτέρα - Κυριακή: 07:00-23:00 </v>
      </c>
      <c r="P25" s="253" t="str">
        <f t="shared" si="6"/>
        <v>Οποτεδήποτε μέσα σε 8 ώρες</v>
      </c>
      <c r="Q25" s="254" t="str">
        <f t="shared" si="6"/>
        <v/>
      </c>
      <c r="S25" s="126" t="str">
        <f t="shared" si="7"/>
        <v/>
      </c>
      <c r="T25" s="185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45" x14ac:dyDescent="0.25">
      <c r="A26" s="42" t="str">
        <f t="shared" si="0"/>
        <v>B05</v>
      </c>
      <c r="B26" s="277" t="str">
        <f t="shared" si="8"/>
        <v>FORTHNET</v>
      </c>
      <c r="C26" s="39" t="str">
        <f t="shared" si="1"/>
        <v>Έμμεση</v>
      </c>
      <c r="D26" s="213">
        <f>IF(S26="",IF(ΓΕΝΙΚΑ!$B$20="ΝΑΙ",14680,""),"")</f>
        <v>14680</v>
      </c>
      <c r="E26" s="260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237">
        <v>5.524520167907891</v>
      </c>
      <c r="I26" s="239">
        <f t="shared" si="2"/>
        <v>5.52</v>
      </c>
      <c r="J26" s="237">
        <v>21.444634924684703</v>
      </c>
      <c r="K26" s="239">
        <f t="shared" si="3"/>
        <v>21.44</v>
      </c>
      <c r="L26" s="7">
        <f t="shared" si="4"/>
        <v>27</v>
      </c>
      <c r="M26" s="34">
        <f t="shared" si="11"/>
        <v>0</v>
      </c>
      <c r="N26" s="223" t="str">
        <f t="shared" si="10"/>
        <v/>
      </c>
      <c r="O26" s="253" t="str">
        <f t="shared" si="9"/>
        <v xml:space="preserve">Μέσω Καταστημάτων: Ωράριο καταστημάτων 
Μέσω Τηλεφώνου 13831:  Δευτέρα - Κυριακή: 07:00-23:00 </v>
      </c>
      <c r="P26" s="253" t="str">
        <f t="shared" si="6"/>
        <v>Οποτεδήποτε μέσα σε 8 ώρες</v>
      </c>
      <c r="Q26" s="254" t="str">
        <f t="shared" si="6"/>
        <v/>
      </c>
      <c r="S26" s="126" t="str">
        <f t="shared" si="7"/>
        <v/>
      </c>
      <c r="T26" s="185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45" x14ac:dyDescent="0.25">
      <c r="A27" s="42" t="str">
        <f t="shared" si="0"/>
        <v>B05</v>
      </c>
      <c r="B27" s="277" t="str">
        <f t="shared" si="8"/>
        <v>FORTHNET</v>
      </c>
      <c r="C27" s="39" t="str">
        <f t="shared" si="1"/>
        <v>Έμμεση</v>
      </c>
      <c r="D27" s="226">
        <f>IF(S27="",IF(ΓΕΝΙΚΑ!$B$20="ΝΑΙ",14682,""),"")</f>
        <v>14682</v>
      </c>
      <c r="E27" s="261" t="str">
        <f>IF(ΓΕΝΙΚΑ!$B$20="ΝΑΙ","Π. ΚΡΗΤΗΣ","")</f>
        <v>Π. ΚΡΗΤΗΣ</v>
      </c>
      <c r="F27" s="7" t="s">
        <v>411</v>
      </c>
      <c r="G27" s="7">
        <v>95</v>
      </c>
      <c r="H27" s="237">
        <v>9.3558595966827589</v>
      </c>
      <c r="I27" s="239">
        <f t="shared" si="2"/>
        <v>9.36</v>
      </c>
      <c r="J27" s="237">
        <v>37.823885773687614</v>
      </c>
      <c r="K27" s="239">
        <f t="shared" si="3"/>
        <v>37.82</v>
      </c>
      <c r="L27" s="7">
        <f t="shared" si="4"/>
        <v>47</v>
      </c>
      <c r="M27" s="34">
        <f t="shared" si="11"/>
        <v>0</v>
      </c>
      <c r="N27" s="223" t="str">
        <f t="shared" si="10"/>
        <v/>
      </c>
      <c r="O27" s="253" t="str">
        <f t="shared" si="9"/>
        <v xml:space="preserve">Μέσω Καταστημάτων: Ωράριο καταστημάτων 
Μέσω Τηλεφώνου 13831:  Δευτέρα - Κυριακή: 07:00-23:00 </v>
      </c>
      <c r="P27" s="253" t="str">
        <f t="shared" si="6"/>
        <v>Οποτεδήποτε μέσα σε 8 ώρες</v>
      </c>
      <c r="Q27" s="254" t="str">
        <f t="shared" si="6"/>
        <v/>
      </c>
      <c r="S27" s="126" t="str">
        <f t="shared" si="7"/>
        <v/>
      </c>
      <c r="T27" s="185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45" x14ac:dyDescent="0.25">
      <c r="A28" s="42" t="str">
        <f t="shared" si="0"/>
        <v>B05</v>
      </c>
      <c r="B28" s="277" t="str">
        <f t="shared" si="8"/>
        <v>FORTHNET</v>
      </c>
      <c r="C28" s="39" t="str">
        <f t="shared" si="1"/>
        <v>Έμμεση</v>
      </c>
      <c r="D28" s="213">
        <f>IF(S28="",IF(ΓΕΝΙΚΑ!$B$20="ΝΑΙ",14684,""),"")</f>
        <v>14684</v>
      </c>
      <c r="E28" s="260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237">
        <v>11.117810403252248</v>
      </c>
      <c r="I28" s="239">
        <f t="shared" si="2"/>
        <v>11.12</v>
      </c>
      <c r="J28" s="237">
        <v>27.768381726377378</v>
      </c>
      <c r="K28" s="239">
        <f t="shared" si="3"/>
        <v>27.77</v>
      </c>
      <c r="L28" s="7">
        <f t="shared" si="4"/>
        <v>39</v>
      </c>
      <c r="M28" s="34">
        <f t="shared" si="11"/>
        <v>0</v>
      </c>
      <c r="N28" s="223" t="str">
        <f t="shared" si="10"/>
        <v/>
      </c>
      <c r="O28" s="253" t="str">
        <f t="shared" si="9"/>
        <v xml:space="preserve">Μέσω Καταστημάτων: Ωράριο καταστημάτων 
Μέσω Τηλεφώνου 13831:  Δευτέρα - Κυριακή: 07:00-23:00 </v>
      </c>
      <c r="P28" s="253" t="str">
        <f t="shared" si="6"/>
        <v>Οποτεδήποτε μέσα σε 8 ώρες</v>
      </c>
      <c r="Q28" s="254" t="str">
        <f t="shared" si="6"/>
        <v/>
      </c>
      <c r="S28" s="126" t="str">
        <f t="shared" si="7"/>
        <v/>
      </c>
      <c r="T28" s="185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45" x14ac:dyDescent="0.25">
      <c r="A29" s="42" t="str">
        <f t="shared" si="0"/>
        <v>B05</v>
      </c>
      <c r="B29" s="277" t="str">
        <f t="shared" si="8"/>
        <v>FORTHNET</v>
      </c>
      <c r="C29" s="39" t="str">
        <f t="shared" si="1"/>
        <v>Έμμεση</v>
      </c>
      <c r="D29" s="226">
        <f>IF(S29="",IF(ΓΕΝΙΚΑ!$B$20="ΝΑΙ",14686,""),"")</f>
        <v>14686</v>
      </c>
      <c r="E29" s="261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237">
        <v>5.3315631405722206</v>
      </c>
      <c r="I29" s="239">
        <f t="shared" si="2"/>
        <v>5.33</v>
      </c>
      <c r="J29" s="237">
        <v>17.34943222979815</v>
      </c>
      <c r="K29" s="239">
        <f t="shared" si="3"/>
        <v>17.350000000000001</v>
      </c>
      <c r="L29" s="7">
        <f t="shared" si="4"/>
        <v>23</v>
      </c>
      <c r="M29" s="34">
        <f t="shared" si="11"/>
        <v>0</v>
      </c>
      <c r="N29" s="223" t="str">
        <f t="shared" si="10"/>
        <v/>
      </c>
      <c r="O29" s="253" t="str">
        <f t="shared" si="9"/>
        <v xml:space="preserve">Μέσω Καταστημάτων: Ωράριο καταστημάτων 
Μέσω Τηλεφώνου 13831:  Δευτέρα - Κυριακή: 07:00-23:00 </v>
      </c>
      <c r="P29" s="253" t="str">
        <f t="shared" si="6"/>
        <v>Οποτεδήποτε μέσα σε 8 ώρες</v>
      </c>
      <c r="Q29" s="254" t="str">
        <f t="shared" si="6"/>
        <v/>
      </c>
      <c r="S29" s="126" t="str">
        <f t="shared" si="7"/>
        <v/>
      </c>
      <c r="T29" s="185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45.75" thickBot="1" x14ac:dyDescent="0.3">
      <c r="A30" s="43" t="str">
        <f t="shared" si="0"/>
        <v>B05</v>
      </c>
      <c r="B30" s="278" t="str">
        <f t="shared" si="8"/>
        <v>FORTHNET</v>
      </c>
      <c r="C30" s="44" t="str">
        <f t="shared" si="1"/>
        <v>Έμμεση</v>
      </c>
      <c r="D30" s="214">
        <f>IF(S30="",IF(ΓΕΝΙΚΑ!$B$20="ΝΑΙ",14688,""),"")</f>
        <v>14688</v>
      </c>
      <c r="E30" s="262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237">
        <v>4.3012625485722822</v>
      </c>
      <c r="I30" s="239">
        <f t="shared" si="2"/>
        <v>4.3</v>
      </c>
      <c r="J30" s="237">
        <v>22.497718932909198</v>
      </c>
      <c r="K30" s="239">
        <f t="shared" si="3"/>
        <v>22.5</v>
      </c>
      <c r="L30" s="6">
        <f t="shared" si="4"/>
        <v>27</v>
      </c>
      <c r="M30" s="36">
        <f t="shared" si="11"/>
        <v>0</v>
      </c>
      <c r="N30" s="224" t="str">
        <f t="shared" si="10"/>
        <v/>
      </c>
      <c r="O30" s="255" t="str">
        <f t="shared" si="9"/>
        <v xml:space="preserve">Μέσω Καταστημάτων: Ωράριο καταστημάτων 
Μέσω Τηλεφώνου 13831:  Δευτέρα - Κυριακή: 07:00-23:00 </v>
      </c>
      <c r="P30" s="255" t="str">
        <f t="shared" si="6"/>
        <v>Οποτεδήποτε μέσα σε 8 ώρες</v>
      </c>
      <c r="Q30" s="256" t="str">
        <f t="shared" si="6"/>
        <v/>
      </c>
      <c r="S30" s="126" t="str">
        <f t="shared" si="7"/>
        <v/>
      </c>
      <c r="T30" s="186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6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A2" zoomScale="77" zoomScaleNormal="77" workbookViewId="0">
      <selection activeCell="L10" sqref="L10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7" style="241" hidden="1" customWidth="1"/>
    <col min="5" max="5" width="38.5703125" style="241" hidden="1" customWidth="1"/>
    <col min="6" max="6" width="38.140625" style="164" customWidth="1"/>
    <col min="7" max="7" width="22.7109375" style="164" customWidth="1"/>
    <col min="8" max="8" width="28.28515625" style="164" customWidth="1"/>
    <col min="9" max="9" width="28.28515625" style="164" hidden="1" customWidth="1"/>
    <col min="10" max="10" width="27.42578125" style="164" customWidth="1"/>
    <col min="11" max="11" width="28.28515625" style="164" hidden="1" customWidth="1"/>
    <col min="12" max="12" width="62.85546875" style="164" customWidth="1"/>
    <col min="13" max="13" width="56.42578125" style="164" customWidth="1"/>
    <col min="14" max="14" width="9.140625" style="164" customWidth="1"/>
    <col min="15" max="15" width="16.140625" style="164" customWidth="1"/>
    <col min="16" max="16" width="58.140625" style="164" customWidth="1"/>
    <col min="17" max="17" width="9.140625" style="164" customWidth="1"/>
    <col min="18" max="16384" width="9.140625" style="164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20" t="s">
        <v>905</v>
      </c>
      <c r="E1" s="220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4"/>
      <c r="E2" s="234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4" t="s">
        <v>564</v>
      </c>
      <c r="L2" s="4" t="s">
        <v>472</v>
      </c>
      <c r="M2" s="23" t="s">
        <v>421</v>
      </c>
      <c r="O2" s="142" t="s">
        <v>452</v>
      </c>
      <c r="P2" s="107" t="s">
        <v>553</v>
      </c>
    </row>
    <row r="3" spans="1:16" ht="30.75" thickTop="1" x14ac:dyDescent="0.25">
      <c r="A3" s="40" t="s">
        <v>470</v>
      </c>
      <c r="B3" s="48" t="str">
        <f>ΓΕΝΙΚΑ!C4</f>
        <v>FORTHNET</v>
      </c>
      <c r="C3" s="242" t="s">
        <v>435</v>
      </c>
      <c r="D3" s="225">
        <f>IF(S3="",IF(ΓΕΝΙΚΑ!$B$20="ΝΑΙ",15300,""),"")</f>
        <v>15300</v>
      </c>
      <c r="E3" s="215" t="str">
        <f>IF(ΓΕΝΙΚΑ!$B$21="ΝΑΙ","ΠΑΝΕΛΛΑΔΙΚΑ","")</f>
        <v>ΠΑΝΕΛΛΑΔΙΚΑ</v>
      </c>
      <c r="F3" s="41" t="s">
        <v>555</v>
      </c>
      <c r="G3" s="257">
        <f>IF(AND(ISNUMBER(H3),ISNUMBER(J3)),ROUND(H3/J3,2),"N/A")</f>
        <v>0.09</v>
      </c>
      <c r="H3" s="148">
        <v>10666</v>
      </c>
      <c r="I3" s="143">
        <f>IF(ISNUMBER(H3),ROUND(H3,0),"")</f>
        <v>10666</v>
      </c>
      <c r="J3" s="147">
        <v>120217.98895027628</v>
      </c>
      <c r="K3" s="302">
        <f>IF(ISNUMBER(J3),ROUND(J3,0),"")</f>
        <v>120218</v>
      </c>
      <c r="L3" s="237" t="s">
        <v>951</v>
      </c>
      <c r="M3" s="238" t="s">
        <v>925</v>
      </c>
      <c r="O3" s="46" t="str">
        <f>IF(P3&lt;&gt;"","ΣΦΑΛΜΑ","")</f>
        <v/>
      </c>
      <c r="P3" s="144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30" x14ac:dyDescent="0.25">
      <c r="A4" s="42" t="str">
        <f t="shared" ref="A4:A16" si="0">A$3</f>
        <v>B06</v>
      </c>
      <c r="B4" s="39" t="str">
        <f t="shared" ref="B4:B16" si="1">B$3</f>
        <v>FORTHNET</v>
      </c>
      <c r="C4" s="39" t="str">
        <f t="shared" ref="C4:C16" si="2">$C$3</f>
        <v>Έμμεση</v>
      </c>
      <c r="D4" s="213">
        <f>IF(S4="",IF(ΓΕΝΙΚΑ!$B$20="ΝΑΙ",14664,""),"")</f>
        <v>14664</v>
      </c>
      <c r="E4" s="216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7">
        <f>IF(AND(ISNUMBER(H4),ISNUMBER(J4)),ROUND(H4/J4,2),"N/A")</f>
        <v>0.06</v>
      </c>
      <c r="H4" s="148">
        <v>492</v>
      </c>
      <c r="I4" s="240">
        <f>IF(ISNUMBER(H4),ROUND(H4,0),"")</f>
        <v>492</v>
      </c>
      <c r="J4" s="147">
        <v>7839.6906077348067</v>
      </c>
      <c r="K4" s="298">
        <f t="shared" ref="K4:K16" si="3">IF(ISNUMBER(J4),ROUND(J4,0),"")</f>
        <v>7840</v>
      </c>
      <c r="L4" s="253" t="str">
        <f>L$3</f>
        <v>"Δευτέρα - Κυριακή: 24 ώρες &amp; αργίες Μέσω τηλεφώνου 13831  ή 13731 (ατελώς)"</v>
      </c>
      <c r="M4" s="254" t="str">
        <f>M$3</f>
        <v/>
      </c>
      <c r="O4" s="126" t="str">
        <f t="shared" ref="O4:O16" si="4">IF(P4&lt;&gt;"","ΣΦΑΛΜΑ","")</f>
        <v/>
      </c>
      <c r="P4" s="145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30" x14ac:dyDescent="0.25">
      <c r="A5" s="42" t="str">
        <f t="shared" si="0"/>
        <v>B06</v>
      </c>
      <c r="B5" s="39" t="str">
        <f t="shared" si="1"/>
        <v>FORTHNET</v>
      </c>
      <c r="C5" s="39" t="str">
        <f t="shared" si="2"/>
        <v>Έμμεση</v>
      </c>
      <c r="D5" s="226">
        <f>IF(S5="",IF(ΓΕΝΙΚΑ!$B$20="ΝΑΙ",14666,""),"")</f>
        <v>14666</v>
      </c>
      <c r="E5" s="217" t="str">
        <f>IF(ΓΕΝΙΚΑ!$B$21="ΝΑΙ","Π. ΑΤΤΙΚΗΣ","")</f>
        <v>Π. ΑΤΤΙΚΗΣ</v>
      </c>
      <c r="F5" s="7" t="s">
        <v>40</v>
      </c>
      <c r="G5" s="257">
        <f t="shared" ref="G5:G16" si="5">IF(AND(ISNUMBER(H5),ISNUMBER(J5)),ROUND(H5/J5,2),"N/A")</f>
        <v>0.09</v>
      </c>
      <c r="H5" s="148">
        <v>6590</v>
      </c>
      <c r="I5" s="240">
        <f t="shared" ref="I5:I16" si="6">IF(ISNUMBER(H5),ROUND(H5,0),"")</f>
        <v>6590</v>
      </c>
      <c r="J5" s="147">
        <v>70943.657458563539</v>
      </c>
      <c r="K5" s="298">
        <f t="shared" si="3"/>
        <v>70944</v>
      </c>
      <c r="L5" s="253" t="str">
        <f t="shared" ref="L5:M16" si="7">L$3</f>
        <v>"Δευτέρα - Κυριακή: 24 ώρες &amp; αργίες Μέσω τηλεφώνου 13831  ή 13731 (ατελώς)"</v>
      </c>
      <c r="M5" s="254" t="str">
        <f t="shared" si="7"/>
        <v/>
      </c>
      <c r="O5" s="126" t="str">
        <f t="shared" si="4"/>
        <v/>
      </c>
      <c r="P5" s="145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30" x14ac:dyDescent="0.25">
      <c r="A6" s="42" t="str">
        <f t="shared" si="0"/>
        <v>B06</v>
      </c>
      <c r="B6" s="39" t="str">
        <f t="shared" si="1"/>
        <v>FORTHNET</v>
      </c>
      <c r="C6" s="39" t="str">
        <f t="shared" si="2"/>
        <v>Έμμεση</v>
      </c>
      <c r="D6" s="213">
        <f>IF(S3="",IF(ΓΕΝΙΚΑ!$B$20="ΝΑΙ",14668,""),"")</f>
        <v>14668</v>
      </c>
      <c r="E6" s="216" t="str">
        <f>IF(ΓΕΝΙΚΑ!$B$21="ΝΑΙ","Π. ΒΟΡΕΙΟΥ ΑΙΓΑΙΟΥ","")</f>
        <v>Π. ΒΟΡΕΙΟΥ ΑΙΓΑΙΟΥ</v>
      </c>
      <c r="F6" s="24" t="s">
        <v>404</v>
      </c>
      <c r="G6" s="257">
        <f t="shared" si="5"/>
        <v>0.05</v>
      </c>
      <c r="H6" s="148">
        <v>86</v>
      </c>
      <c r="I6" s="240">
        <f t="shared" si="6"/>
        <v>86</v>
      </c>
      <c r="J6" s="147">
        <v>1750</v>
      </c>
      <c r="K6" s="298">
        <f t="shared" si="3"/>
        <v>1750</v>
      </c>
      <c r="L6" s="253" t="str">
        <f t="shared" si="7"/>
        <v>"Δευτέρα - Κυριακή: 24 ώρες &amp; αργίες Μέσω τηλεφώνου 13831  ή 13731 (ατελώς)"</v>
      </c>
      <c r="M6" s="254" t="str">
        <f t="shared" si="7"/>
        <v/>
      </c>
      <c r="O6" s="126" t="str">
        <f t="shared" si="4"/>
        <v/>
      </c>
      <c r="P6" s="145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30" x14ac:dyDescent="0.25">
      <c r="A7" s="42" t="str">
        <f t="shared" si="0"/>
        <v>B06</v>
      </c>
      <c r="B7" s="39" t="str">
        <f t="shared" si="1"/>
        <v>FORTHNET</v>
      </c>
      <c r="C7" s="39" t="str">
        <f t="shared" si="2"/>
        <v>Έμμεση</v>
      </c>
      <c r="D7" s="226">
        <f>IF(S7="",IF(ΓΕΝΙΚΑ!$B$20="ΝΑΙ",14670,""),"")</f>
        <v>14670</v>
      </c>
      <c r="E7" s="217" t="str">
        <f>IF(ΓΕΝΙΚΑ!$B$21="ΝΑΙ","Π. ΔΥΤΙΚΗΣ ΕΛΛΑΔΑΣ","")</f>
        <v>Π. ΔΥΤΙΚΗΣ ΕΛΛΑΔΑΣ</v>
      </c>
      <c r="F7" s="7" t="s">
        <v>405</v>
      </c>
      <c r="G7" s="257">
        <f t="shared" si="5"/>
        <v>0.06</v>
      </c>
      <c r="H7" s="148">
        <v>179</v>
      </c>
      <c r="I7" s="240">
        <f t="shared" si="6"/>
        <v>179</v>
      </c>
      <c r="J7" s="147">
        <v>2805.0662983425414</v>
      </c>
      <c r="K7" s="298">
        <f t="shared" si="3"/>
        <v>2805</v>
      </c>
      <c r="L7" s="253" t="str">
        <f t="shared" si="7"/>
        <v>"Δευτέρα - Κυριακή: 24 ώρες &amp; αργίες Μέσω τηλεφώνου 13831  ή 13731 (ατελώς)"</v>
      </c>
      <c r="M7" s="254" t="str">
        <f t="shared" si="7"/>
        <v/>
      </c>
      <c r="O7" s="126" t="str">
        <f t="shared" si="4"/>
        <v/>
      </c>
      <c r="P7" s="145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30" x14ac:dyDescent="0.25">
      <c r="A8" s="42" t="str">
        <f t="shared" si="0"/>
        <v>B06</v>
      </c>
      <c r="B8" s="39" t="str">
        <f t="shared" si="1"/>
        <v>FORTHNET</v>
      </c>
      <c r="C8" s="39" t="str">
        <f t="shared" si="2"/>
        <v>Έμμεση</v>
      </c>
      <c r="D8" s="213">
        <f>IF(S8="",IF(ΓΕΝΙΚΑ!$B$20="ΝΑΙ",14672,""),"")</f>
        <v>14672</v>
      </c>
      <c r="E8" s="216" t="str">
        <f>IF(ΓΕΝΙΚΑ!$B$21="ΝΑΙ","Π. ΔΥΤΙΚΗΣ ΜΑΚΕΔΟΝΙΑΣ","")</f>
        <v>Π. ΔΥΤΙΚΗΣ ΜΑΚΕΔΟΝΙΑΣ</v>
      </c>
      <c r="F8" s="24" t="s">
        <v>406</v>
      </c>
      <c r="G8" s="257">
        <f t="shared" si="5"/>
        <v>0.04</v>
      </c>
      <c r="H8" s="148">
        <v>71</v>
      </c>
      <c r="I8" s="240">
        <f t="shared" si="6"/>
        <v>71</v>
      </c>
      <c r="J8" s="147">
        <v>1635.7734806629835</v>
      </c>
      <c r="K8" s="298">
        <f t="shared" si="3"/>
        <v>1636</v>
      </c>
      <c r="L8" s="253" t="str">
        <f t="shared" si="7"/>
        <v>"Δευτέρα - Κυριακή: 24 ώρες &amp; αργίες Μέσω τηλεφώνου 13831  ή 13731 (ατελώς)"</v>
      </c>
      <c r="M8" s="254" t="str">
        <f t="shared" si="7"/>
        <v/>
      </c>
      <c r="O8" s="126" t="str">
        <f t="shared" si="4"/>
        <v/>
      </c>
      <c r="P8" s="145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30" x14ac:dyDescent="0.25">
      <c r="A9" s="42" t="str">
        <f t="shared" si="0"/>
        <v>B06</v>
      </c>
      <c r="B9" s="39" t="str">
        <f t="shared" si="1"/>
        <v>FORTHNET</v>
      </c>
      <c r="C9" s="39" t="str">
        <f t="shared" si="2"/>
        <v>Έμμεση</v>
      </c>
      <c r="D9" s="226">
        <f>IF(S9="",IF(ΓΕΝΙΚΑ!$B$20="ΝΑΙ",14674,""),"")</f>
        <v>14674</v>
      </c>
      <c r="E9" s="217" t="str">
        <f>IF(ΓΕΝΙΚΑ!$B$21="ΝΑΙ","Π. ΗΠΕΙΡΟΥ","")</f>
        <v>Π. ΗΠΕΙΡΟΥ</v>
      </c>
      <c r="F9" s="7" t="s">
        <v>407</v>
      </c>
      <c r="G9" s="257">
        <f t="shared" si="5"/>
        <v>0.09</v>
      </c>
      <c r="H9" s="148">
        <v>178</v>
      </c>
      <c r="I9" s="240">
        <f t="shared" si="6"/>
        <v>178</v>
      </c>
      <c r="J9" s="147">
        <v>1989.0331491712707</v>
      </c>
      <c r="K9" s="298">
        <f t="shared" si="3"/>
        <v>1989</v>
      </c>
      <c r="L9" s="253" t="str">
        <f t="shared" si="7"/>
        <v>"Δευτέρα - Κυριακή: 24 ώρες &amp; αργίες Μέσω τηλεφώνου 13831  ή 13731 (ατελώς)"</v>
      </c>
      <c r="M9" s="254" t="str">
        <f t="shared" si="7"/>
        <v/>
      </c>
      <c r="O9" s="126" t="str">
        <f t="shared" si="4"/>
        <v/>
      </c>
      <c r="P9" s="145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30" x14ac:dyDescent="0.25">
      <c r="A10" s="42" t="str">
        <f t="shared" si="0"/>
        <v>B06</v>
      </c>
      <c r="B10" s="39" t="str">
        <f t="shared" si="1"/>
        <v>FORTHNET</v>
      </c>
      <c r="C10" s="39" t="str">
        <f t="shared" si="2"/>
        <v>Έμμεση</v>
      </c>
      <c r="D10" s="213">
        <f>IF(S10="",IF(ΓΕΝΙΚΑ!$B$20="ΝΑΙ",14676,""),"")</f>
        <v>14676</v>
      </c>
      <c r="E10" s="216" t="str">
        <f>IF(ΓΕΝΙΚΑ!$B$21="ΝΑΙ","Π. ΘΕΣΣΑΛΙΑΣ","")</f>
        <v>Π. ΘΕΣΣΑΛΙΑΣ</v>
      </c>
      <c r="F10" s="24" t="s">
        <v>408</v>
      </c>
      <c r="G10" s="257">
        <f t="shared" si="5"/>
        <v>0.08</v>
      </c>
      <c r="H10" s="148">
        <v>356</v>
      </c>
      <c r="I10" s="240">
        <f t="shared" si="6"/>
        <v>356</v>
      </c>
      <c r="J10" s="147">
        <v>4271.7237569060771</v>
      </c>
      <c r="K10" s="298">
        <f t="shared" si="3"/>
        <v>4272</v>
      </c>
      <c r="L10" s="253" t="str">
        <f t="shared" si="7"/>
        <v>"Δευτέρα - Κυριακή: 24 ώρες &amp; αργίες Μέσω τηλεφώνου 13831  ή 13731 (ατελώς)"</v>
      </c>
      <c r="M10" s="254" t="str">
        <f t="shared" si="7"/>
        <v/>
      </c>
      <c r="O10" s="126" t="str">
        <f t="shared" si="4"/>
        <v/>
      </c>
      <c r="P10" s="145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30" x14ac:dyDescent="0.25">
      <c r="A11" s="42" t="str">
        <f t="shared" si="0"/>
        <v>B06</v>
      </c>
      <c r="B11" s="39" t="str">
        <f t="shared" si="1"/>
        <v>FORTHNET</v>
      </c>
      <c r="C11" s="39" t="str">
        <f t="shared" si="2"/>
        <v>Έμμεση</v>
      </c>
      <c r="D11" s="226">
        <f>IF(S11="",IF(ΓΕΝΙΚΑ!$B$20="ΝΑΙ",14678,""),"")</f>
        <v>14678</v>
      </c>
      <c r="E11" s="217" t="str">
        <f>IF(ΓΕΝΙΚΑ!$B$21="ΝΑΙ","Π. ΙΟΝΙΩΝ ΝΗΣΩΝ","")</f>
        <v>Π. ΙΟΝΙΩΝ ΝΗΣΩΝ</v>
      </c>
      <c r="F11" s="7" t="s">
        <v>409</v>
      </c>
      <c r="G11" s="257">
        <f t="shared" si="5"/>
        <v>0.06</v>
      </c>
      <c r="H11" s="148">
        <v>35</v>
      </c>
      <c r="I11" s="240">
        <f t="shared" si="6"/>
        <v>35</v>
      </c>
      <c r="J11" s="147">
        <v>598</v>
      </c>
      <c r="K11" s="298">
        <f t="shared" si="3"/>
        <v>598</v>
      </c>
      <c r="L11" s="253" t="str">
        <f t="shared" si="7"/>
        <v>"Δευτέρα - Κυριακή: 24 ώρες &amp; αργίες Μέσω τηλεφώνου 13831  ή 13731 (ατελώς)"</v>
      </c>
      <c r="M11" s="254" t="str">
        <f t="shared" si="7"/>
        <v/>
      </c>
      <c r="O11" s="126" t="str">
        <f t="shared" si="4"/>
        <v/>
      </c>
      <c r="P11" s="145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30" x14ac:dyDescent="0.25">
      <c r="A12" s="42" t="str">
        <f t="shared" si="0"/>
        <v>B06</v>
      </c>
      <c r="B12" s="39" t="str">
        <f t="shared" si="1"/>
        <v>FORTHNET</v>
      </c>
      <c r="C12" s="39" t="str">
        <f t="shared" si="2"/>
        <v>Έμμεση</v>
      </c>
      <c r="D12" s="213">
        <f>IF(S12="",IF(ΓΕΝΙΚΑ!$B$20="ΝΑΙ",14680,""),"")</f>
        <v>14680</v>
      </c>
      <c r="E12" s="216" t="str">
        <f>IF(ΓΕΝΙΚΑ!$B$21="ΝΑΙ","Π. ΚΕΝΤΡΙΚΗΣ ΜΑΚΕΔΟΝΙΑΣ","")</f>
        <v>Π. ΚΕΝΤΡΙΚΗΣ ΜΑΚΕΔΟΝΙΑΣ</v>
      </c>
      <c r="F12" s="24" t="s">
        <v>410</v>
      </c>
      <c r="G12" s="257">
        <f t="shared" si="5"/>
        <v>0.12</v>
      </c>
      <c r="H12" s="148">
        <v>1867</v>
      </c>
      <c r="I12" s="240">
        <f t="shared" si="6"/>
        <v>1867</v>
      </c>
      <c r="J12" s="147">
        <v>16132.21546961326</v>
      </c>
      <c r="K12" s="298">
        <f t="shared" si="3"/>
        <v>16132</v>
      </c>
      <c r="L12" s="253" t="str">
        <f t="shared" si="7"/>
        <v>"Δευτέρα - Κυριακή: 24 ώρες &amp; αργίες Μέσω τηλεφώνου 13831  ή 13731 (ατελώς)"</v>
      </c>
      <c r="M12" s="254" t="str">
        <f t="shared" si="7"/>
        <v/>
      </c>
      <c r="O12" s="126" t="str">
        <f t="shared" si="4"/>
        <v/>
      </c>
      <c r="P12" s="145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30" x14ac:dyDescent="0.25">
      <c r="A13" s="42" t="str">
        <f t="shared" si="0"/>
        <v>B06</v>
      </c>
      <c r="B13" s="39" t="str">
        <f t="shared" si="1"/>
        <v>FORTHNET</v>
      </c>
      <c r="C13" s="39" t="str">
        <f t="shared" si="2"/>
        <v>Έμμεση</v>
      </c>
      <c r="D13" s="226">
        <f>IF(S13="",IF(ΓΕΝΙΚΑ!$B$20="ΝΑΙ",14682,""),"")</f>
        <v>14682</v>
      </c>
      <c r="E13" s="217" t="str">
        <f>IF(ΓΕΝΙΚΑ!$B$21="ΝΑΙ","Π. ΚΡΗΤΗΣ","")</f>
        <v>Π. ΚΡΗΤΗΣ</v>
      </c>
      <c r="F13" s="7" t="s">
        <v>411</v>
      </c>
      <c r="G13" s="257">
        <f t="shared" si="5"/>
        <v>0.06</v>
      </c>
      <c r="H13" s="148">
        <v>197</v>
      </c>
      <c r="I13" s="240">
        <f t="shared" si="6"/>
        <v>197</v>
      </c>
      <c r="J13" s="147">
        <v>3461.4917127071822</v>
      </c>
      <c r="K13" s="298">
        <f t="shared" si="3"/>
        <v>3461</v>
      </c>
      <c r="L13" s="253" t="str">
        <f t="shared" si="7"/>
        <v>"Δευτέρα - Κυριακή: 24 ώρες &amp; αργίες Μέσω τηλεφώνου 13831  ή 13731 (ατελώς)"</v>
      </c>
      <c r="M13" s="254" t="str">
        <f t="shared" si="7"/>
        <v/>
      </c>
      <c r="O13" s="126" t="str">
        <f t="shared" si="4"/>
        <v/>
      </c>
      <c r="P13" s="145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30" x14ac:dyDescent="0.25">
      <c r="A14" s="42" t="str">
        <f t="shared" si="0"/>
        <v>B06</v>
      </c>
      <c r="B14" s="39" t="str">
        <f t="shared" si="1"/>
        <v>FORTHNET</v>
      </c>
      <c r="C14" s="39" t="str">
        <f t="shared" si="2"/>
        <v>Έμμεση</v>
      </c>
      <c r="D14" s="213">
        <f>IF(S14="",IF(ΓΕΝΙΚΑ!$B$20="ΝΑΙ",14684,""),"")</f>
        <v>14684</v>
      </c>
      <c r="E14" s="216" t="str">
        <f>IF(ΓΕΝΙΚΑ!$B$21="ΝΑΙ","Π. ΝΟΤΙΟΥ ΑΙΓΑΙΟΥ","")</f>
        <v>Π. ΝΟΤΙΟΥ ΑΙΓΑΙΟΥ</v>
      </c>
      <c r="F14" s="24" t="s">
        <v>412</v>
      </c>
      <c r="G14" s="257">
        <f t="shared" si="5"/>
        <v>0.08</v>
      </c>
      <c r="H14" s="148">
        <v>300</v>
      </c>
      <c r="I14" s="240">
        <f t="shared" si="6"/>
        <v>300</v>
      </c>
      <c r="J14" s="147">
        <v>3801.9834254143648</v>
      </c>
      <c r="K14" s="298">
        <f t="shared" si="3"/>
        <v>3802</v>
      </c>
      <c r="L14" s="253" t="str">
        <f t="shared" si="7"/>
        <v>"Δευτέρα - Κυριακή: 24 ώρες &amp; αργίες Μέσω τηλεφώνου 13831  ή 13731 (ατελώς)"</v>
      </c>
      <c r="M14" s="254" t="str">
        <f t="shared" si="7"/>
        <v/>
      </c>
      <c r="O14" s="126" t="str">
        <f t="shared" si="4"/>
        <v/>
      </c>
      <c r="P14" s="145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30" x14ac:dyDescent="0.25">
      <c r="A15" s="42" t="str">
        <f t="shared" si="0"/>
        <v>B06</v>
      </c>
      <c r="B15" s="39" t="str">
        <f t="shared" si="1"/>
        <v>FORTHNET</v>
      </c>
      <c r="C15" s="39" t="str">
        <f t="shared" si="2"/>
        <v>Έμμεση</v>
      </c>
      <c r="D15" s="226">
        <f>IF(S15="",IF(ΓΕΝΙΚΑ!$B$20="ΝΑΙ",14686,""),"")</f>
        <v>14686</v>
      </c>
      <c r="E15" s="217" t="str">
        <f>IF(ΓΕΝΙΚΑ!$B$21="ΝΑΙ","Π. ΠΕΛΟΠΟΝΝΗΣΟΥ","")</f>
        <v>Π. ΠΕΛΟΠΟΝΝΗΣΟΥ</v>
      </c>
      <c r="F15" s="7" t="s">
        <v>413</v>
      </c>
      <c r="G15" s="257">
        <f t="shared" si="5"/>
        <v>0.04</v>
      </c>
      <c r="H15" s="148">
        <v>112</v>
      </c>
      <c r="I15" s="240">
        <f t="shared" si="6"/>
        <v>112</v>
      </c>
      <c r="J15" s="147">
        <v>2493.5027624309391</v>
      </c>
      <c r="K15" s="298">
        <f t="shared" si="3"/>
        <v>2494</v>
      </c>
      <c r="L15" s="253" t="str">
        <f t="shared" si="7"/>
        <v>"Δευτέρα - Κυριακή: 24 ώρες &amp; αργίες Μέσω τηλεφώνου 13831  ή 13731 (ατελώς)"</v>
      </c>
      <c r="M15" s="254" t="str">
        <f t="shared" si="7"/>
        <v/>
      </c>
      <c r="O15" s="126" t="str">
        <f t="shared" si="4"/>
        <v/>
      </c>
      <c r="P15" s="145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30.75" thickBot="1" x14ac:dyDescent="0.3">
      <c r="A16" s="43" t="str">
        <f t="shared" si="0"/>
        <v>B06</v>
      </c>
      <c r="B16" s="44" t="str">
        <f t="shared" si="1"/>
        <v>FORTHNET</v>
      </c>
      <c r="C16" s="44" t="str">
        <f t="shared" si="2"/>
        <v>Έμμεση</v>
      </c>
      <c r="D16" s="214">
        <f>IF(S16="",IF(ΓΕΝΙΚΑ!$B$20="ΝΑΙ",14688,""),"")</f>
        <v>14688</v>
      </c>
      <c r="E16" s="218" t="str">
        <f>IF(ΓΕΝΙΚΑ!$B$21="ΝΑΙ","Π. ΣΤΕΡΕΑΣ ΕΛΛΑΔΑΣ","")</f>
        <v>Π. ΣΤΕΡΕΑΣ ΕΛΛΑΔΑΣ</v>
      </c>
      <c r="F16" s="35" t="s">
        <v>414</v>
      </c>
      <c r="G16" s="301">
        <f t="shared" si="5"/>
        <v>0.08</v>
      </c>
      <c r="H16" s="295">
        <v>203</v>
      </c>
      <c r="I16" s="296">
        <f t="shared" si="6"/>
        <v>203</v>
      </c>
      <c r="J16" s="297">
        <v>2495.7734806629833</v>
      </c>
      <c r="K16" s="299">
        <f t="shared" si="3"/>
        <v>2496</v>
      </c>
      <c r="L16" s="255" t="str">
        <f t="shared" si="7"/>
        <v>"Δευτέρα - Κυριακή: 24 ώρες &amp; αργίες Μέσω τηλεφώνου 13831  ή 13731 (ατελώς)"</v>
      </c>
      <c r="M16" s="256" t="str">
        <f t="shared" si="7"/>
        <v/>
      </c>
      <c r="O16" s="127" t="str">
        <f t="shared" si="4"/>
        <v/>
      </c>
      <c r="P16" s="146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70" zoomScaleNormal="70" workbookViewId="0">
      <selection activeCell="M17" sqref="M17"/>
    </sheetView>
  </sheetViews>
  <sheetFormatPr defaultColWidth="0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38.140625" style="241" hidden="1" customWidth="1"/>
    <col min="5" max="5" width="37.42578125" style="241" hidden="1" customWidth="1"/>
    <col min="6" max="6" width="38.140625" style="164" customWidth="1"/>
    <col min="7" max="7" width="26" style="164" customWidth="1"/>
    <col min="8" max="8" width="28.28515625" style="164" customWidth="1"/>
    <col min="9" max="9" width="28.28515625" style="164" hidden="1" customWidth="1"/>
    <col min="10" max="10" width="35.140625" style="164" customWidth="1"/>
    <col min="11" max="11" width="28.28515625" style="164" hidden="1" customWidth="1"/>
    <col min="12" max="12" width="18.140625" style="164" customWidth="1"/>
    <col min="13" max="13" width="28.28515625" style="164" customWidth="1"/>
    <col min="14" max="14" width="28.28515625" style="164" hidden="1" customWidth="1"/>
    <col min="15" max="15" width="40.28515625" style="164" customWidth="1"/>
    <col min="16" max="17" width="31.28515625" style="164" customWidth="1"/>
    <col min="18" max="18" width="9.140625" style="164" customWidth="1"/>
    <col min="19" max="19" width="16.140625" style="164" customWidth="1"/>
    <col min="20" max="20" width="72.7109375" style="164" customWidth="1"/>
    <col min="21" max="16384" width="9.140625" style="164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20" t="s">
        <v>905</v>
      </c>
      <c r="E1" s="220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9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21"/>
      <c r="E2" s="221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5" t="s">
        <v>452</v>
      </c>
      <c r="T2" s="107" t="s">
        <v>553</v>
      </c>
    </row>
    <row r="3" spans="1:26" ht="30.75" thickTop="1" x14ac:dyDescent="0.25">
      <c r="A3" s="40" t="s">
        <v>469</v>
      </c>
      <c r="B3" s="48" t="str">
        <f>ΓΕΝΙΚΑ!C4</f>
        <v>FORTHNET</v>
      </c>
      <c r="C3" s="134" t="s">
        <v>435</v>
      </c>
      <c r="D3" s="225">
        <f>IF(S3="",IF(ΓΕΝΙΚΑ!$B$20="ΝΑΙ",15300,""),"")</f>
        <v>15300</v>
      </c>
      <c r="E3" s="215" t="str">
        <f>IF(ΓΕΝΙΚΑ!$B$22="ΝΑΙ","ΠΑΝΕΛΛΑΔΙΚΑ","")</f>
        <v>ΠΑΝΕΛΛΑΔΙΚΑ</v>
      </c>
      <c r="F3" s="41" t="s">
        <v>555</v>
      </c>
      <c r="G3" s="5">
        <v>50</v>
      </c>
      <c r="H3" s="135">
        <v>98.287012653351425</v>
      </c>
      <c r="I3" s="239">
        <f>IF(ISNUMBER(H3),ROUND(H3,2),"")</f>
        <v>98.29</v>
      </c>
      <c r="J3" s="135">
        <v>42.712987346648575</v>
      </c>
      <c r="K3" s="137">
        <f>IF(ISNUMBER(J3),ROUND(J3,2),"")</f>
        <v>42.71</v>
      </c>
      <c r="L3" s="57">
        <f t="shared" ref="L3:L16" si="0">IF(AND(ISNUMBER(H3),ISNUMBER(J3)),ROUND(H3+J3,0),IF(ISNUMBER(H3),ROUND(H3,0),IF(ISNUMBER(J3),ROUND(J3,0),"N/A")))</f>
        <v>141</v>
      </c>
      <c r="M3" s="150">
        <v>1</v>
      </c>
      <c r="N3" s="279">
        <f>IF(ISNUMBER(M3),ROUND(M3,0),"")</f>
        <v>1</v>
      </c>
      <c r="O3" s="237" t="s">
        <v>951</v>
      </c>
      <c r="P3" s="247" t="s">
        <v>950</v>
      </c>
      <c r="Q3" s="238" t="s">
        <v>925</v>
      </c>
      <c r="S3" s="126" t="str">
        <f>IF(T3="","","ΣΦΑΛΜΑ")</f>
        <v/>
      </c>
      <c r="T3" s="188" t="str">
        <f>CONCATENATE(IF(NOT(ISNUMBER(H3)),U3,IF(H3&gt;H17,W3,"")),IF(J3&gt;J17,X3,""))</f>
        <v/>
      </c>
      <c r="U3" s="187" t="s">
        <v>575</v>
      </c>
      <c r="V3" s="187" t="s">
        <v>917</v>
      </c>
      <c r="W3" s="187" t="s">
        <v>918</v>
      </c>
      <c r="X3" s="187" t="s">
        <v>919</v>
      </c>
      <c r="Y3" s="187" t="s">
        <v>920</v>
      </c>
      <c r="Z3" s="187" t="s">
        <v>579</v>
      </c>
    </row>
    <row r="4" spans="1:26" ht="30" x14ac:dyDescent="0.25">
      <c r="A4" s="42" t="str">
        <f t="shared" ref="A4:B30" si="1">A$3</f>
        <v>B07</v>
      </c>
      <c r="B4" s="39" t="str">
        <f t="shared" si="1"/>
        <v>FORTHNET</v>
      </c>
      <c r="C4" s="39" t="str">
        <f t="shared" ref="C4:C30" si="2">$C$3</f>
        <v>Έμμεση</v>
      </c>
      <c r="D4" s="213">
        <f>IF(S4="",IF(ΓΕΝΙΚΑ!$B$20="ΝΑΙ",14664,""),"")</f>
        <v>14664</v>
      </c>
      <c r="E4" s="216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5">
        <v>122.33157748031127</v>
      </c>
      <c r="I4" s="239">
        <f t="shared" ref="I4:I16" si="3">IF(ISNUMBER(H4),ROUND(H4,2),"")</f>
        <v>122.33</v>
      </c>
      <c r="J4" s="135">
        <v>42.668422519688747</v>
      </c>
      <c r="K4" s="239">
        <f t="shared" ref="K4:K30" si="4">IF(ISNUMBER(J4),ROUND(J4,2),"")</f>
        <v>42.67</v>
      </c>
      <c r="L4" s="57">
        <f t="shared" si="0"/>
        <v>165</v>
      </c>
      <c r="M4" s="151">
        <v>1</v>
      </c>
      <c r="N4" s="279">
        <f t="shared" ref="N4:N30" si="5">IF(ISNUMBER(M4),ROUND(M4,0),"")</f>
        <v>1</v>
      </c>
      <c r="O4" s="253" t="str">
        <f>O$3</f>
        <v>"Δευτέρα - Κυριακή: 24 ώρες &amp; αργίες Μέσω τηλεφώνου 13831  ή 13731 (ατελώς)"</v>
      </c>
      <c r="P4" s="253" t="str">
        <f t="shared" ref="P4:Q30" si="6">P$3</f>
        <v>Οποτεδήποτε μέσα σε 8 ώρες</v>
      </c>
      <c r="Q4" s="254" t="str">
        <f t="shared" si="6"/>
        <v/>
      </c>
      <c r="S4" s="126" t="str">
        <f t="shared" ref="S4:S30" si="7">IF(T4="","","ΣΦΑΛΜΑ")</f>
        <v/>
      </c>
      <c r="T4" s="188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7" t="s">
        <v>575</v>
      </c>
      <c r="V4" s="187" t="s">
        <v>917</v>
      </c>
      <c r="W4" s="187" t="s">
        <v>918</v>
      </c>
      <c r="X4" s="187" t="s">
        <v>919</v>
      </c>
      <c r="Y4" s="187" t="s">
        <v>920</v>
      </c>
      <c r="Z4" s="187" t="s">
        <v>579</v>
      </c>
    </row>
    <row r="5" spans="1:26" ht="30" x14ac:dyDescent="0.25">
      <c r="A5" s="42" t="str">
        <f t="shared" si="1"/>
        <v>B07</v>
      </c>
      <c r="B5" s="39" t="str">
        <f t="shared" si="1"/>
        <v>FORTHNET</v>
      </c>
      <c r="C5" s="39" t="str">
        <f t="shared" si="2"/>
        <v>Έμμεση</v>
      </c>
      <c r="D5" s="226">
        <f>IF(S5="",IF(ΓΕΝΙΚΑ!$B$20="ΝΑΙ",14666,""),"")</f>
        <v>14666</v>
      </c>
      <c r="E5" s="217" t="str">
        <f>IF(ΓΕΝΙΚΑ!$B$22="ΝΑΙ","Π. ΑΤΤΙΚΗΣ","")</f>
        <v>Π. ΑΤΤΙΚΗΣ</v>
      </c>
      <c r="F5" s="7" t="s">
        <v>40</v>
      </c>
      <c r="G5" s="7">
        <v>50</v>
      </c>
      <c r="H5" s="135">
        <v>101.08849782460172</v>
      </c>
      <c r="I5" s="239">
        <f t="shared" si="3"/>
        <v>101.09</v>
      </c>
      <c r="J5" s="135">
        <v>39.91150217539829</v>
      </c>
      <c r="K5" s="239">
        <f t="shared" si="4"/>
        <v>39.909999999999997</v>
      </c>
      <c r="L5" s="57">
        <f t="shared" si="0"/>
        <v>141</v>
      </c>
      <c r="M5" s="151">
        <v>1</v>
      </c>
      <c r="N5" s="279">
        <f t="shared" si="5"/>
        <v>1</v>
      </c>
      <c r="O5" s="253" t="str">
        <f t="shared" ref="O5:O30" si="8">O$3</f>
        <v>"Δευτέρα - Κυριακή: 24 ώρες &amp; αργίες Μέσω τηλεφώνου 13831  ή 13731 (ατελώς)"</v>
      </c>
      <c r="P5" s="253" t="str">
        <f t="shared" si="6"/>
        <v>Οποτεδήποτε μέσα σε 8 ώρες</v>
      </c>
      <c r="Q5" s="254" t="str">
        <f t="shared" si="6"/>
        <v/>
      </c>
      <c r="S5" s="126" t="str">
        <f t="shared" si="7"/>
        <v/>
      </c>
      <c r="T5" s="188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7" t="s">
        <v>575</v>
      </c>
      <c r="V5" s="187" t="s">
        <v>917</v>
      </c>
      <c r="W5" s="187" t="s">
        <v>918</v>
      </c>
      <c r="X5" s="187" t="s">
        <v>919</v>
      </c>
      <c r="Y5" s="187" t="s">
        <v>920</v>
      </c>
      <c r="Z5" s="187" t="s">
        <v>579</v>
      </c>
    </row>
    <row r="6" spans="1:26" ht="30" x14ac:dyDescent="0.25">
      <c r="A6" s="42" t="str">
        <f t="shared" si="1"/>
        <v>B07</v>
      </c>
      <c r="B6" s="39" t="str">
        <f t="shared" si="1"/>
        <v>FORTHNET</v>
      </c>
      <c r="C6" s="39" t="str">
        <f t="shared" si="2"/>
        <v>Έμμεση</v>
      </c>
      <c r="D6" s="213">
        <f>IF(S3="",IF(ΓΕΝΙΚΑ!$B$20="ΝΑΙ",14668,""),"")</f>
        <v>14668</v>
      </c>
      <c r="E6" s="216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5">
        <v>98.605375258075298</v>
      </c>
      <c r="I6" s="239">
        <f t="shared" si="3"/>
        <v>98.61</v>
      </c>
      <c r="J6" s="135">
        <v>46.394624741924694</v>
      </c>
      <c r="K6" s="239">
        <f t="shared" si="4"/>
        <v>46.39</v>
      </c>
      <c r="L6" s="57">
        <f t="shared" si="0"/>
        <v>145</v>
      </c>
      <c r="M6" s="151">
        <v>1</v>
      </c>
      <c r="N6" s="279">
        <f t="shared" si="5"/>
        <v>1</v>
      </c>
      <c r="O6" s="253" t="str">
        <f t="shared" si="8"/>
        <v>"Δευτέρα - Κυριακή: 24 ώρες &amp; αργίες Μέσω τηλεφώνου 13831  ή 13731 (ατελώς)"</v>
      </c>
      <c r="P6" s="253" t="str">
        <f t="shared" si="6"/>
        <v>Οποτεδήποτε μέσα σε 8 ώρες</v>
      </c>
      <c r="Q6" s="254" t="str">
        <f t="shared" si="6"/>
        <v/>
      </c>
      <c r="S6" s="126" t="str">
        <f t="shared" si="7"/>
        <v/>
      </c>
      <c r="T6" s="188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7" t="s">
        <v>575</v>
      </c>
      <c r="V6" s="187" t="s">
        <v>917</v>
      </c>
      <c r="W6" s="187" t="s">
        <v>918</v>
      </c>
      <c r="X6" s="187" t="s">
        <v>919</v>
      </c>
      <c r="Y6" s="187" t="s">
        <v>920</v>
      </c>
      <c r="Z6" s="187" t="s">
        <v>579</v>
      </c>
    </row>
    <row r="7" spans="1:26" ht="30" x14ac:dyDescent="0.25">
      <c r="A7" s="42" t="str">
        <f t="shared" si="1"/>
        <v>B07</v>
      </c>
      <c r="B7" s="39" t="str">
        <f t="shared" si="1"/>
        <v>FORTHNET</v>
      </c>
      <c r="C7" s="39" t="str">
        <f t="shared" si="2"/>
        <v>Έμμεση</v>
      </c>
      <c r="D7" s="226">
        <f>IF(S7="",IF(ΓΕΝΙΚΑ!$B$20="ΝΑΙ",14670,""),"")</f>
        <v>14670</v>
      </c>
      <c r="E7" s="217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5">
        <v>58.137259706056589</v>
      </c>
      <c r="I7" s="239">
        <f t="shared" si="3"/>
        <v>58.14</v>
      </c>
      <c r="J7" s="135">
        <v>38.862740293943418</v>
      </c>
      <c r="K7" s="239">
        <f t="shared" si="4"/>
        <v>38.86</v>
      </c>
      <c r="L7" s="57">
        <f t="shared" si="0"/>
        <v>97</v>
      </c>
      <c r="M7" s="151">
        <v>1</v>
      </c>
      <c r="N7" s="279">
        <f t="shared" si="5"/>
        <v>1</v>
      </c>
      <c r="O7" s="253" t="str">
        <f t="shared" si="8"/>
        <v>"Δευτέρα - Κυριακή: 24 ώρες &amp; αργίες Μέσω τηλεφώνου 13831  ή 13731 (ατελώς)"</v>
      </c>
      <c r="P7" s="253" t="str">
        <f t="shared" si="6"/>
        <v>Οποτεδήποτε μέσα σε 8 ώρες</v>
      </c>
      <c r="Q7" s="254" t="str">
        <f t="shared" si="6"/>
        <v/>
      </c>
      <c r="S7" s="126" t="str">
        <f t="shared" si="7"/>
        <v/>
      </c>
      <c r="T7" s="188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7" t="s">
        <v>575</v>
      </c>
      <c r="V7" s="187" t="s">
        <v>917</v>
      </c>
      <c r="W7" s="187" t="s">
        <v>918</v>
      </c>
      <c r="X7" s="187" t="s">
        <v>919</v>
      </c>
      <c r="Y7" s="187" t="s">
        <v>920</v>
      </c>
      <c r="Z7" s="187" t="s">
        <v>579</v>
      </c>
    </row>
    <row r="8" spans="1:26" ht="30" x14ac:dyDescent="0.25">
      <c r="A8" s="42" t="str">
        <f t="shared" si="1"/>
        <v>B07</v>
      </c>
      <c r="B8" s="39" t="str">
        <f t="shared" si="1"/>
        <v>FORTHNET</v>
      </c>
      <c r="C8" s="39" t="str">
        <f t="shared" si="2"/>
        <v>Έμμεση</v>
      </c>
      <c r="D8" s="213">
        <f>IF(S8="",IF(ΓΕΝΙΚΑ!$B$20="ΝΑΙ",14672,""),"")</f>
        <v>14672</v>
      </c>
      <c r="E8" s="216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5">
        <v>88.78695918367346</v>
      </c>
      <c r="I8" s="239">
        <f t="shared" si="3"/>
        <v>88.79</v>
      </c>
      <c r="J8" s="135">
        <v>19.213040816326529</v>
      </c>
      <c r="K8" s="239">
        <f t="shared" si="4"/>
        <v>19.21</v>
      </c>
      <c r="L8" s="57">
        <f t="shared" si="0"/>
        <v>108</v>
      </c>
      <c r="M8" s="151">
        <v>1</v>
      </c>
      <c r="N8" s="279">
        <f t="shared" si="5"/>
        <v>1</v>
      </c>
      <c r="O8" s="253" t="str">
        <f t="shared" si="8"/>
        <v>"Δευτέρα - Κυριακή: 24 ώρες &amp; αργίες Μέσω τηλεφώνου 13831  ή 13731 (ατελώς)"</v>
      </c>
      <c r="P8" s="253" t="str">
        <f t="shared" si="6"/>
        <v>Οποτεδήποτε μέσα σε 8 ώρες</v>
      </c>
      <c r="Q8" s="254" t="str">
        <f t="shared" si="6"/>
        <v/>
      </c>
      <c r="S8" s="126" t="str">
        <f t="shared" si="7"/>
        <v/>
      </c>
      <c r="T8" s="188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7" t="s">
        <v>575</v>
      </c>
      <c r="V8" s="187" t="s">
        <v>917</v>
      </c>
      <c r="W8" s="187" t="s">
        <v>918</v>
      </c>
      <c r="X8" s="187" t="s">
        <v>919</v>
      </c>
      <c r="Y8" s="187" t="s">
        <v>920</v>
      </c>
      <c r="Z8" s="187" t="s">
        <v>579</v>
      </c>
    </row>
    <row r="9" spans="1:26" ht="30" x14ac:dyDescent="0.25">
      <c r="A9" s="42" t="str">
        <f t="shared" si="1"/>
        <v>B07</v>
      </c>
      <c r="B9" s="39" t="str">
        <f t="shared" si="1"/>
        <v>FORTHNET</v>
      </c>
      <c r="C9" s="39" t="str">
        <f t="shared" si="2"/>
        <v>Έμμεση</v>
      </c>
      <c r="D9" s="226">
        <f>IF(S9="",IF(ΓΕΝΙΚΑ!$B$20="ΝΑΙ",14674,""),"")</f>
        <v>14674</v>
      </c>
      <c r="E9" s="217" t="str">
        <f>IF(ΓΕΝΙΚΑ!$B$22="ΝΑΙ","Π. ΗΠΕΙΡΟΥ","")</f>
        <v>Π. ΗΠΕΙΡΟΥ</v>
      </c>
      <c r="F9" s="7" t="s">
        <v>407</v>
      </c>
      <c r="G9" s="7">
        <v>50</v>
      </c>
      <c r="H9" s="135">
        <v>103.486189366735</v>
      </c>
      <c r="I9" s="239">
        <f t="shared" si="3"/>
        <v>103.49</v>
      </c>
      <c r="J9" s="135">
        <v>91.513810633264981</v>
      </c>
      <c r="K9" s="239">
        <f t="shared" si="4"/>
        <v>91.51</v>
      </c>
      <c r="L9" s="57">
        <f t="shared" si="0"/>
        <v>195</v>
      </c>
      <c r="M9" s="151">
        <v>1</v>
      </c>
      <c r="N9" s="279">
        <f t="shared" si="5"/>
        <v>1</v>
      </c>
      <c r="O9" s="253" t="str">
        <f t="shared" si="8"/>
        <v>"Δευτέρα - Κυριακή: 24 ώρες &amp; αργίες Μέσω τηλεφώνου 13831  ή 13731 (ατελώς)"</v>
      </c>
      <c r="P9" s="253" t="str">
        <f t="shared" si="6"/>
        <v>Οποτεδήποτε μέσα σε 8 ώρες</v>
      </c>
      <c r="Q9" s="254" t="str">
        <f t="shared" si="6"/>
        <v/>
      </c>
      <c r="S9" s="126" t="str">
        <f t="shared" si="7"/>
        <v/>
      </c>
      <c r="T9" s="188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7" t="s">
        <v>575</v>
      </c>
      <c r="V9" s="187" t="s">
        <v>917</v>
      </c>
      <c r="W9" s="187" t="s">
        <v>918</v>
      </c>
      <c r="X9" s="187" t="s">
        <v>919</v>
      </c>
      <c r="Y9" s="187" t="s">
        <v>920</v>
      </c>
      <c r="Z9" s="187" t="s">
        <v>579</v>
      </c>
    </row>
    <row r="10" spans="1:26" ht="30" x14ac:dyDescent="0.25">
      <c r="A10" s="42" t="str">
        <f t="shared" si="1"/>
        <v>B07</v>
      </c>
      <c r="B10" s="39" t="str">
        <f t="shared" si="1"/>
        <v>FORTHNET</v>
      </c>
      <c r="C10" s="39" t="str">
        <f t="shared" si="2"/>
        <v>Έμμεση</v>
      </c>
      <c r="D10" s="213">
        <f>IF(S10="",IF(ΓΕΝΙΚΑ!$B$20="ΝΑΙ",14676,""),"")</f>
        <v>14676</v>
      </c>
      <c r="E10" s="216" t="str">
        <f>IF(ΓΕΝΙΚΑ!$B$22="ΝΑΙ","Π. ΘΕΣΣΑΛΙΑΣ","")</f>
        <v>Π. ΘΕΣΣΑΛΙΑΣ</v>
      </c>
      <c r="F10" s="7" t="s">
        <v>408</v>
      </c>
      <c r="G10" s="7">
        <v>50</v>
      </c>
      <c r="H10" s="135">
        <v>81.832837311509621</v>
      </c>
      <c r="I10" s="239">
        <f t="shared" si="3"/>
        <v>81.83</v>
      </c>
      <c r="J10" s="135">
        <v>34.167162688490386</v>
      </c>
      <c r="K10" s="239">
        <f t="shared" si="4"/>
        <v>34.17</v>
      </c>
      <c r="L10" s="57">
        <f t="shared" si="0"/>
        <v>116</v>
      </c>
      <c r="M10" s="151">
        <v>1</v>
      </c>
      <c r="N10" s="279">
        <f t="shared" si="5"/>
        <v>1</v>
      </c>
      <c r="O10" s="253" t="str">
        <f t="shared" si="8"/>
        <v>"Δευτέρα - Κυριακή: 24 ώρες &amp; αργίες Μέσω τηλεφώνου 13831  ή 13731 (ατελώς)"</v>
      </c>
      <c r="P10" s="253" t="str">
        <f t="shared" si="6"/>
        <v>Οποτεδήποτε μέσα σε 8 ώρες</v>
      </c>
      <c r="Q10" s="254" t="str">
        <f t="shared" si="6"/>
        <v/>
      </c>
      <c r="S10" s="126" t="str">
        <f t="shared" si="7"/>
        <v/>
      </c>
      <c r="T10" s="188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7" t="s">
        <v>575</v>
      </c>
      <c r="V10" s="187" t="s">
        <v>917</v>
      </c>
      <c r="W10" s="187" t="s">
        <v>918</v>
      </c>
      <c r="X10" s="187" t="s">
        <v>919</v>
      </c>
      <c r="Y10" s="187" t="s">
        <v>920</v>
      </c>
      <c r="Z10" s="187" t="s">
        <v>579</v>
      </c>
    </row>
    <row r="11" spans="1:26" ht="30" x14ac:dyDescent="0.25">
      <c r="A11" s="42" t="str">
        <f t="shared" si="1"/>
        <v>B07</v>
      </c>
      <c r="B11" s="39" t="str">
        <f t="shared" si="1"/>
        <v>FORTHNET</v>
      </c>
      <c r="C11" s="39" t="str">
        <f t="shared" si="2"/>
        <v>Έμμεση</v>
      </c>
      <c r="D11" s="226">
        <f>IF(S11="",IF(ΓΕΝΙΚΑ!$B$20="ΝΑΙ",14678,""),"")</f>
        <v>14678</v>
      </c>
      <c r="E11" s="217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5">
        <v>96.649925551307959</v>
      </c>
      <c r="I11" s="239">
        <f t="shared" si="3"/>
        <v>96.65</v>
      </c>
      <c r="J11" s="135">
        <v>46.350074448692027</v>
      </c>
      <c r="K11" s="239">
        <f t="shared" si="4"/>
        <v>46.35</v>
      </c>
      <c r="L11" s="57">
        <f t="shared" si="0"/>
        <v>143</v>
      </c>
      <c r="M11" s="151">
        <v>1</v>
      </c>
      <c r="N11" s="279">
        <f t="shared" si="5"/>
        <v>1</v>
      </c>
      <c r="O11" s="253" t="str">
        <f t="shared" si="8"/>
        <v>"Δευτέρα - Κυριακή: 24 ώρες &amp; αργίες Μέσω τηλεφώνου 13831  ή 13731 (ατελώς)"</v>
      </c>
      <c r="P11" s="253" t="str">
        <f t="shared" si="6"/>
        <v>Οποτεδήποτε μέσα σε 8 ώρες</v>
      </c>
      <c r="Q11" s="254" t="str">
        <f t="shared" si="6"/>
        <v/>
      </c>
      <c r="S11" s="126" t="str">
        <f t="shared" si="7"/>
        <v/>
      </c>
      <c r="T11" s="188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7" t="s">
        <v>575</v>
      </c>
      <c r="V11" s="187" t="s">
        <v>917</v>
      </c>
      <c r="W11" s="187" t="s">
        <v>918</v>
      </c>
      <c r="X11" s="187" t="s">
        <v>919</v>
      </c>
      <c r="Y11" s="187" t="s">
        <v>920</v>
      </c>
      <c r="Z11" s="187" t="s">
        <v>579</v>
      </c>
    </row>
    <row r="12" spans="1:26" ht="30" x14ac:dyDescent="0.25">
      <c r="A12" s="42" t="str">
        <f t="shared" si="1"/>
        <v>B07</v>
      </c>
      <c r="B12" s="39" t="str">
        <f t="shared" si="1"/>
        <v>FORTHNET</v>
      </c>
      <c r="C12" s="39" t="str">
        <f t="shared" si="2"/>
        <v>Έμμεση</v>
      </c>
      <c r="D12" s="213">
        <f>IF(S12="",IF(ΓΕΝΙΚΑ!$B$20="ΝΑΙ",14680,""),"")</f>
        <v>14680</v>
      </c>
      <c r="E12" s="216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5">
        <v>97.259602180663563</v>
      </c>
      <c r="I12" s="239">
        <f t="shared" si="3"/>
        <v>97.26</v>
      </c>
      <c r="J12" s="135">
        <v>42.740397819336437</v>
      </c>
      <c r="K12" s="239">
        <f t="shared" si="4"/>
        <v>42.74</v>
      </c>
      <c r="L12" s="57">
        <f t="shared" si="0"/>
        <v>140</v>
      </c>
      <c r="M12" s="151">
        <v>1</v>
      </c>
      <c r="N12" s="279">
        <f t="shared" si="5"/>
        <v>1</v>
      </c>
      <c r="O12" s="253" t="str">
        <f t="shared" si="8"/>
        <v>"Δευτέρα - Κυριακή: 24 ώρες &amp; αργίες Μέσω τηλεφώνου 13831  ή 13731 (ατελώς)"</v>
      </c>
      <c r="P12" s="253" t="str">
        <f t="shared" si="6"/>
        <v>Οποτεδήποτε μέσα σε 8 ώρες</v>
      </c>
      <c r="Q12" s="254" t="str">
        <f t="shared" si="6"/>
        <v/>
      </c>
      <c r="S12" s="126" t="str">
        <f t="shared" si="7"/>
        <v/>
      </c>
      <c r="T12" s="188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7" t="s">
        <v>575</v>
      </c>
      <c r="V12" s="187" t="s">
        <v>917</v>
      </c>
      <c r="W12" s="187" t="s">
        <v>918</v>
      </c>
      <c r="X12" s="187" t="s">
        <v>919</v>
      </c>
      <c r="Y12" s="187" t="s">
        <v>920</v>
      </c>
      <c r="Z12" s="187" t="s">
        <v>579</v>
      </c>
    </row>
    <row r="13" spans="1:26" ht="30" x14ac:dyDescent="0.25">
      <c r="A13" s="42" t="str">
        <f t="shared" si="1"/>
        <v>B07</v>
      </c>
      <c r="B13" s="39" t="str">
        <f t="shared" si="1"/>
        <v>FORTHNET</v>
      </c>
      <c r="C13" s="39" t="str">
        <f t="shared" si="2"/>
        <v>Έμμεση</v>
      </c>
      <c r="D13" s="226">
        <f>IF(S13="",IF(ΓΕΝΙΚΑ!$B$20="ΝΑΙ",14682,""),"")</f>
        <v>14682</v>
      </c>
      <c r="E13" s="217" t="str">
        <f>IF(ΓΕΝΙΚΑ!$B$22="ΝΑΙ","Π. ΚΡΗΤΗΣ","")</f>
        <v>Π. ΚΡΗΤΗΣ</v>
      </c>
      <c r="F13" s="7" t="s">
        <v>411</v>
      </c>
      <c r="G13" s="7">
        <v>50</v>
      </c>
      <c r="H13" s="135">
        <v>87.026494513939582</v>
      </c>
      <c r="I13" s="239">
        <f t="shared" si="3"/>
        <v>87.03</v>
      </c>
      <c r="J13" s="135">
        <v>48.973505486060418</v>
      </c>
      <c r="K13" s="239">
        <f t="shared" si="4"/>
        <v>48.97</v>
      </c>
      <c r="L13" s="57">
        <f t="shared" si="0"/>
        <v>136</v>
      </c>
      <c r="M13" s="151">
        <v>1</v>
      </c>
      <c r="N13" s="279">
        <f t="shared" si="5"/>
        <v>1</v>
      </c>
      <c r="O13" s="253" t="str">
        <f t="shared" si="8"/>
        <v>"Δευτέρα - Κυριακή: 24 ώρες &amp; αργίες Μέσω τηλεφώνου 13831  ή 13731 (ατελώς)"</v>
      </c>
      <c r="P13" s="253" t="str">
        <f t="shared" si="6"/>
        <v>Οποτεδήποτε μέσα σε 8 ώρες</v>
      </c>
      <c r="Q13" s="254" t="str">
        <f t="shared" si="6"/>
        <v/>
      </c>
      <c r="S13" s="126" t="str">
        <f t="shared" si="7"/>
        <v/>
      </c>
      <c r="T13" s="188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7" t="s">
        <v>575</v>
      </c>
      <c r="V13" s="187" t="s">
        <v>917</v>
      </c>
      <c r="W13" s="187" t="s">
        <v>918</v>
      </c>
      <c r="X13" s="187" t="s">
        <v>919</v>
      </c>
      <c r="Y13" s="187" t="s">
        <v>920</v>
      </c>
      <c r="Z13" s="187" t="s">
        <v>579</v>
      </c>
    </row>
    <row r="14" spans="1:26" ht="30" x14ac:dyDescent="0.25">
      <c r="A14" s="42" t="str">
        <f t="shared" si="1"/>
        <v>B07</v>
      </c>
      <c r="B14" s="39" t="str">
        <f t="shared" si="1"/>
        <v>FORTHNET</v>
      </c>
      <c r="C14" s="39" t="str">
        <f t="shared" si="2"/>
        <v>Έμμεση</v>
      </c>
      <c r="D14" s="213">
        <f>IF(S14="",IF(ΓΕΝΙΚΑ!$B$20="ΝΑΙ",14684,""),"")</f>
        <v>14684</v>
      </c>
      <c r="E14" s="216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5">
        <v>80.368029378826492</v>
      </c>
      <c r="I14" s="239">
        <f t="shared" si="3"/>
        <v>80.37</v>
      </c>
      <c r="J14" s="135">
        <v>43.631970621173494</v>
      </c>
      <c r="K14" s="239">
        <f t="shared" si="4"/>
        <v>43.63</v>
      </c>
      <c r="L14" s="57">
        <f t="shared" si="0"/>
        <v>124</v>
      </c>
      <c r="M14" s="151">
        <v>1</v>
      </c>
      <c r="N14" s="279">
        <f t="shared" si="5"/>
        <v>1</v>
      </c>
      <c r="O14" s="253" t="str">
        <f t="shared" si="8"/>
        <v>"Δευτέρα - Κυριακή: 24 ώρες &amp; αργίες Μέσω τηλεφώνου 13831  ή 13731 (ατελώς)"</v>
      </c>
      <c r="P14" s="253" t="str">
        <f t="shared" si="6"/>
        <v>Οποτεδήποτε μέσα σε 8 ώρες</v>
      </c>
      <c r="Q14" s="254" t="str">
        <f t="shared" si="6"/>
        <v/>
      </c>
      <c r="S14" s="126" t="str">
        <f t="shared" si="7"/>
        <v/>
      </c>
      <c r="T14" s="188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7" t="s">
        <v>575</v>
      </c>
      <c r="V14" s="187" t="s">
        <v>917</v>
      </c>
      <c r="W14" s="187" t="s">
        <v>918</v>
      </c>
      <c r="X14" s="187" t="s">
        <v>919</v>
      </c>
      <c r="Y14" s="187" t="s">
        <v>920</v>
      </c>
      <c r="Z14" s="187" t="s">
        <v>579</v>
      </c>
    </row>
    <row r="15" spans="1:26" ht="30" x14ac:dyDescent="0.25">
      <c r="A15" s="42" t="str">
        <f t="shared" si="1"/>
        <v>B07</v>
      </c>
      <c r="B15" s="39" t="str">
        <f t="shared" si="1"/>
        <v>FORTHNET</v>
      </c>
      <c r="C15" s="39" t="str">
        <f t="shared" si="2"/>
        <v>Έμμεση</v>
      </c>
      <c r="D15" s="226">
        <f>IF(S15="",IF(ΓΕΝΙΚΑ!$B$20="ΝΑΙ",14686,""),"")</f>
        <v>14686</v>
      </c>
      <c r="E15" s="217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5">
        <v>107.37076845673363</v>
      </c>
      <c r="I15" s="239">
        <f t="shared" si="3"/>
        <v>107.37</v>
      </c>
      <c r="J15" s="135">
        <v>34.629231543266378</v>
      </c>
      <c r="K15" s="239">
        <f t="shared" si="4"/>
        <v>34.630000000000003</v>
      </c>
      <c r="L15" s="57">
        <f t="shared" si="0"/>
        <v>142</v>
      </c>
      <c r="M15" s="151">
        <v>1</v>
      </c>
      <c r="N15" s="279">
        <f t="shared" si="5"/>
        <v>1</v>
      </c>
      <c r="O15" s="253" t="str">
        <f t="shared" si="8"/>
        <v>"Δευτέρα - Κυριακή: 24 ώρες &amp; αργίες Μέσω τηλεφώνου 13831  ή 13731 (ατελώς)"</v>
      </c>
      <c r="P15" s="253" t="str">
        <f t="shared" si="6"/>
        <v>Οποτεδήποτε μέσα σε 8 ώρες</v>
      </c>
      <c r="Q15" s="254" t="str">
        <f t="shared" si="6"/>
        <v/>
      </c>
      <c r="S15" s="126" t="str">
        <f t="shared" si="7"/>
        <v/>
      </c>
      <c r="T15" s="188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7" t="s">
        <v>575</v>
      </c>
      <c r="V15" s="187" t="s">
        <v>917</v>
      </c>
      <c r="W15" s="187" t="s">
        <v>918</v>
      </c>
      <c r="X15" s="187" t="s">
        <v>919</v>
      </c>
      <c r="Y15" s="187" t="s">
        <v>920</v>
      </c>
      <c r="Z15" s="187" t="s">
        <v>579</v>
      </c>
    </row>
    <row r="16" spans="1:26" ht="30.75" thickBot="1" x14ac:dyDescent="0.3">
      <c r="A16" s="42" t="str">
        <f t="shared" si="1"/>
        <v>B07</v>
      </c>
      <c r="B16" s="39" t="str">
        <f t="shared" si="1"/>
        <v>FORTHNET</v>
      </c>
      <c r="C16" s="39" t="str">
        <f t="shared" si="2"/>
        <v>Έμμεση</v>
      </c>
      <c r="D16" s="214">
        <f>IF(S16="",IF(ΓΕΝΙΚΑ!$B$20="ΝΑΙ",14688,""),"")</f>
        <v>14688</v>
      </c>
      <c r="E16" s="218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5">
        <v>78.235901813510708</v>
      </c>
      <c r="I16" s="239">
        <f t="shared" si="3"/>
        <v>78.239999999999995</v>
      </c>
      <c r="J16" s="135">
        <v>56.764098186489285</v>
      </c>
      <c r="K16" s="239">
        <f t="shared" si="4"/>
        <v>56.76</v>
      </c>
      <c r="L16" s="293">
        <f t="shared" si="0"/>
        <v>135</v>
      </c>
      <c r="M16" s="152">
        <v>1</v>
      </c>
      <c r="N16" s="279">
        <f t="shared" si="5"/>
        <v>1</v>
      </c>
      <c r="O16" s="253" t="str">
        <f t="shared" si="8"/>
        <v>"Δευτέρα - Κυριακή: 24 ώρες &amp; αργίες Μέσω τηλεφώνου 13831  ή 13731 (ατελώς)"</v>
      </c>
      <c r="P16" s="253" t="str">
        <f t="shared" si="6"/>
        <v>Οποτεδήποτε μέσα σε 8 ώρες</v>
      </c>
      <c r="Q16" s="254" t="str">
        <f t="shared" si="6"/>
        <v/>
      </c>
      <c r="S16" s="126" t="str">
        <f t="shared" si="7"/>
        <v/>
      </c>
      <c r="T16" s="188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7" t="s">
        <v>575</v>
      </c>
      <c r="V16" s="187" t="s">
        <v>917</v>
      </c>
      <c r="W16" s="187" t="s">
        <v>918</v>
      </c>
      <c r="X16" s="187" t="s">
        <v>919</v>
      </c>
      <c r="Y16" s="187" t="s">
        <v>920</v>
      </c>
      <c r="Z16" s="187" t="s">
        <v>579</v>
      </c>
    </row>
    <row r="17" spans="1:25" ht="30" x14ac:dyDescent="0.25">
      <c r="A17" s="42" t="str">
        <f t="shared" si="1"/>
        <v>B07</v>
      </c>
      <c r="B17" s="39" t="str">
        <f t="shared" si="1"/>
        <v>FORTHNET</v>
      </c>
      <c r="C17" s="39" t="str">
        <f t="shared" si="2"/>
        <v>Έμμεση</v>
      </c>
      <c r="D17" s="225">
        <f>IF(S17="",IF(ΓΕΝΙΚΑ!$B$20="ΝΑΙ",15300,""),"")</f>
        <v>15300</v>
      </c>
      <c r="E17" s="215" t="str">
        <f>IF(ΓΕΝΙΚΑ!$B$22="ΝΑΙ","ΠΑΝΕΛΛΑΔΙΚΑ","")</f>
        <v>ΠΑΝΕΛΛΑΔΙΚΑ</v>
      </c>
      <c r="F17" s="8" t="s">
        <v>555</v>
      </c>
      <c r="G17" s="5">
        <v>95</v>
      </c>
      <c r="H17" s="135">
        <v>349.44729532813238</v>
      </c>
      <c r="I17" s="239">
        <f>IF(ISNUMBER(H17),ROUND(H17,2),"")</f>
        <v>349.45</v>
      </c>
      <c r="J17" s="135">
        <v>154.57097802786342</v>
      </c>
      <c r="K17" s="239">
        <f t="shared" si="4"/>
        <v>154.57</v>
      </c>
      <c r="L17" s="57">
        <f>IF(AND(ISNUMBER(H17),ISNUMBER(J17)),ROUND(H17+J17,0),IF(ISNUMBER(H17),ROUND(H17,0),IF(ISNUMBER(J17),ROUND(J17,0),"N/A")))</f>
        <v>504</v>
      </c>
      <c r="M17" s="153">
        <v>3</v>
      </c>
      <c r="N17" s="279">
        <f t="shared" si="5"/>
        <v>3</v>
      </c>
      <c r="O17" s="253" t="str">
        <f t="shared" si="8"/>
        <v>"Δευτέρα - Κυριακή: 24 ώρες &amp; αργίες Μέσω τηλεφώνου 13831  ή 13731 (ατελώς)"</v>
      </c>
      <c r="P17" s="253" t="str">
        <f t="shared" si="6"/>
        <v>Οποτεδήποτε μέσα σε 8 ώρες</v>
      </c>
      <c r="Q17" s="254" t="str">
        <f t="shared" si="6"/>
        <v/>
      </c>
      <c r="S17" s="126" t="str">
        <f t="shared" si="7"/>
        <v/>
      </c>
      <c r="T17" s="188" t="str">
        <f>IF(L17="",U3,"")</f>
        <v/>
      </c>
      <c r="Y17" s="187"/>
    </row>
    <row r="18" spans="1:25" ht="30" x14ac:dyDescent="0.25">
      <c r="A18" s="42" t="str">
        <f t="shared" si="1"/>
        <v>B07</v>
      </c>
      <c r="B18" s="39" t="str">
        <f t="shared" si="1"/>
        <v>FORTHNET</v>
      </c>
      <c r="C18" s="39" t="str">
        <f t="shared" si="2"/>
        <v>Έμμεση</v>
      </c>
      <c r="D18" s="213">
        <f>IF(S18="",IF(ΓΕΝΙΚΑ!$B$20="ΝΑΙ",14664,""),"")</f>
        <v>14664</v>
      </c>
      <c r="E18" s="216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5">
        <v>474.20534256753945</v>
      </c>
      <c r="I18" s="239">
        <f t="shared" ref="I18:I30" si="9">IF(ISNUMBER(H18),ROUND(H18,2),"")</f>
        <v>474.21</v>
      </c>
      <c r="J18" s="135">
        <v>220.7946574324605</v>
      </c>
      <c r="K18" s="239">
        <f t="shared" si="4"/>
        <v>220.79</v>
      </c>
      <c r="L18" s="57">
        <f t="shared" ref="L18:L30" si="10">IF(AND(ISNUMBER(H18),ISNUMBER(J18)),ROUND(H18+J18,0),IF(ISNUMBER(H18),ROUND(H18,0),IF(ISNUMBER(J18),ROUND(J18,0),"N/A")))</f>
        <v>695</v>
      </c>
      <c r="M18" s="153">
        <v>23</v>
      </c>
      <c r="N18" s="279">
        <f t="shared" si="5"/>
        <v>23</v>
      </c>
      <c r="O18" s="253" t="str">
        <f t="shared" si="8"/>
        <v>"Δευτέρα - Κυριακή: 24 ώρες &amp; αργίες Μέσω τηλεφώνου 13831  ή 13731 (ατελώς)"</v>
      </c>
      <c r="P18" s="253" t="str">
        <f t="shared" si="6"/>
        <v>Οποτεδήποτε μέσα σε 8 ώρες</v>
      </c>
      <c r="Q18" s="254" t="str">
        <f t="shared" si="6"/>
        <v/>
      </c>
      <c r="S18" s="126" t="str">
        <f t="shared" si="7"/>
        <v/>
      </c>
      <c r="T18" s="188" t="str">
        <f>IF(AND(L18="",ΠΕΡΙΦΕΡΕΙΑ!B2&lt;&gt;"Καθόλου"),U4,IF(AND(ΠΕΡΙΦΕΡΕΙΑ!B2="Καθόλου",OR(H18&lt;&gt;"",J18&lt;&gt;"")),"Η περιφέρεια δεν καλύπτεται",""))</f>
        <v/>
      </c>
      <c r="Y18" s="187"/>
    </row>
    <row r="19" spans="1:25" ht="30" x14ac:dyDescent="0.25">
      <c r="A19" s="42" t="str">
        <f t="shared" si="1"/>
        <v>B07</v>
      </c>
      <c r="B19" s="39" t="str">
        <f t="shared" si="1"/>
        <v>FORTHNET</v>
      </c>
      <c r="C19" s="39" t="str">
        <f t="shared" si="2"/>
        <v>Έμμεση</v>
      </c>
      <c r="D19" s="226">
        <f>IF(S19="",IF(ΓΕΝΙΚΑ!$B$20="ΝΑΙ",14666,""),"")</f>
        <v>14666</v>
      </c>
      <c r="E19" s="217" t="str">
        <f>IF(ΓΕΝΙΚΑ!$B$22="ΝΑΙ","Π. ΑΤΤΙΚΗΣ","")</f>
        <v>Π. ΑΤΤΙΚΗΣ</v>
      </c>
      <c r="F19" s="7" t="s">
        <v>40</v>
      </c>
      <c r="G19" s="7">
        <v>95</v>
      </c>
      <c r="H19" s="135">
        <v>337.96132134348892</v>
      </c>
      <c r="I19" s="239">
        <f t="shared" si="9"/>
        <v>337.96</v>
      </c>
      <c r="J19" s="135">
        <v>140.03867865651108</v>
      </c>
      <c r="K19" s="239">
        <f t="shared" si="4"/>
        <v>140.04</v>
      </c>
      <c r="L19" s="57">
        <f t="shared" si="10"/>
        <v>478</v>
      </c>
      <c r="M19" s="153">
        <v>1</v>
      </c>
      <c r="N19" s="279">
        <f t="shared" si="5"/>
        <v>1</v>
      </c>
      <c r="O19" s="253" t="str">
        <f t="shared" si="8"/>
        <v>"Δευτέρα - Κυριακή: 24 ώρες &amp; αργίες Μέσω τηλεφώνου 13831  ή 13731 (ατελώς)"</v>
      </c>
      <c r="P19" s="253" t="str">
        <f t="shared" si="6"/>
        <v>Οποτεδήποτε μέσα σε 8 ώρες</v>
      </c>
      <c r="Q19" s="254" t="str">
        <f t="shared" si="6"/>
        <v/>
      </c>
      <c r="S19" s="126" t="str">
        <f t="shared" si="7"/>
        <v/>
      </c>
      <c r="T19" s="188" t="str">
        <f>IF(AND(L19="",ΠΕΡΙΦΕΡΕΙΑ!B3&lt;&gt;"Καθόλου"),U5,IF(AND(ΠΕΡΙΦΕΡΕΙΑ!B3="Καθόλου",OR(H19&lt;&gt;"",J19&lt;&gt;"")),"Η περιφέρεια δεν καλύπτεται",""))</f>
        <v/>
      </c>
      <c r="Y19" s="187"/>
    </row>
    <row r="20" spans="1:25" ht="30" x14ac:dyDescent="0.25">
      <c r="A20" s="42" t="str">
        <f t="shared" si="1"/>
        <v>B07</v>
      </c>
      <c r="B20" s="39" t="str">
        <f t="shared" si="1"/>
        <v>FORTHNET</v>
      </c>
      <c r="C20" s="39" t="str">
        <f t="shared" si="2"/>
        <v>Έμμεση</v>
      </c>
      <c r="D20" s="213">
        <f>IF(S17="",IF(ΓΕΝΙΚΑ!$B$20="ΝΑΙ",14668,""),"")</f>
        <v>14668</v>
      </c>
      <c r="E20" s="216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5">
        <v>324.65680772907803</v>
      </c>
      <c r="I20" s="239">
        <f t="shared" si="9"/>
        <v>324.66000000000003</v>
      </c>
      <c r="J20" s="135">
        <v>170.34319227092203</v>
      </c>
      <c r="K20" s="239">
        <f t="shared" si="4"/>
        <v>170.34</v>
      </c>
      <c r="L20" s="57">
        <f t="shared" si="10"/>
        <v>495</v>
      </c>
      <c r="M20" s="153">
        <v>16</v>
      </c>
      <c r="N20" s="279">
        <f t="shared" si="5"/>
        <v>16</v>
      </c>
      <c r="O20" s="253" t="str">
        <f t="shared" si="8"/>
        <v>"Δευτέρα - Κυριακή: 24 ώρες &amp; αργίες Μέσω τηλεφώνου 13831  ή 13731 (ατελώς)"</v>
      </c>
      <c r="P20" s="253" t="str">
        <f t="shared" si="6"/>
        <v>Οποτεδήποτε μέσα σε 8 ώρες</v>
      </c>
      <c r="Q20" s="254" t="str">
        <f t="shared" si="6"/>
        <v/>
      </c>
      <c r="S20" s="126" t="str">
        <f t="shared" si="7"/>
        <v/>
      </c>
      <c r="T20" s="188" t="str">
        <f>IF(AND(L20="",ΠΕΡΙΦΕΡΕΙΑ!B4&lt;&gt;"Καθόλου"),U6,IF(AND(ΠΕΡΙΦΕΡΕΙΑ!B4="Καθόλου",OR(H20&lt;&gt;"",J20&lt;&gt;"")),"Η περιφέρεια δεν καλύπτεται",""))</f>
        <v/>
      </c>
      <c r="Y20" s="187"/>
    </row>
    <row r="21" spans="1:25" ht="30" x14ac:dyDescent="0.25">
      <c r="A21" s="42" t="str">
        <f t="shared" si="1"/>
        <v>B07</v>
      </c>
      <c r="B21" s="39" t="str">
        <f t="shared" si="1"/>
        <v>FORTHNET</v>
      </c>
      <c r="C21" s="39" t="str">
        <f t="shared" si="2"/>
        <v>Έμμεση</v>
      </c>
      <c r="D21" s="226">
        <f>IF(S21="",IF(ΓΕΝΙΚΑ!$B$20="ΝΑΙ",14670,""),"")</f>
        <v>14670</v>
      </c>
      <c r="E21" s="217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5">
        <v>265.5395058117029</v>
      </c>
      <c r="I21" s="239">
        <f t="shared" si="9"/>
        <v>265.54000000000002</v>
      </c>
      <c r="J21" s="135">
        <v>113.46049418829712</v>
      </c>
      <c r="K21" s="239">
        <f t="shared" si="4"/>
        <v>113.46</v>
      </c>
      <c r="L21" s="57">
        <f t="shared" si="10"/>
        <v>379</v>
      </c>
      <c r="M21" s="153">
        <v>25</v>
      </c>
      <c r="N21" s="279">
        <f t="shared" si="5"/>
        <v>25</v>
      </c>
      <c r="O21" s="253" t="str">
        <f t="shared" si="8"/>
        <v>"Δευτέρα - Κυριακή: 24 ώρες &amp; αργίες Μέσω τηλεφώνου 13831  ή 13731 (ατελώς)"</v>
      </c>
      <c r="P21" s="253" t="str">
        <f t="shared" si="6"/>
        <v>Οποτεδήποτε μέσα σε 8 ώρες</v>
      </c>
      <c r="Q21" s="254" t="str">
        <f t="shared" si="6"/>
        <v/>
      </c>
      <c r="S21" s="126" t="str">
        <f t="shared" si="7"/>
        <v/>
      </c>
      <c r="T21" s="188" t="str">
        <f>IF(AND(L21="",ΠΕΡΙΦΕΡΕΙΑ!B5&lt;&gt;"Καθόλου"),U7,IF(AND(ΠΕΡΙΦΕΡΕΙΑ!B5="Καθόλου",OR(H21&lt;&gt;"",J21&lt;&gt;"")),"Η περιφέρεια δεν καλύπτεται",""))</f>
        <v/>
      </c>
      <c r="Y21" s="187"/>
    </row>
    <row r="22" spans="1:25" ht="30" x14ac:dyDescent="0.25">
      <c r="A22" s="42" t="str">
        <f t="shared" si="1"/>
        <v>B07</v>
      </c>
      <c r="B22" s="39" t="str">
        <f t="shared" si="1"/>
        <v>FORTHNET</v>
      </c>
      <c r="C22" s="39" t="str">
        <f t="shared" si="2"/>
        <v>Έμμεση</v>
      </c>
      <c r="D22" s="213">
        <f>IF(S22="",IF(ΓΕΝΙΚΑ!$B$20="ΝΑΙ",14672,""),"")</f>
        <v>14672</v>
      </c>
      <c r="E22" s="216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5">
        <v>135.38410287939791</v>
      </c>
      <c r="I22" s="239">
        <f t="shared" si="9"/>
        <v>135.38</v>
      </c>
      <c r="J22" s="135">
        <v>70.615897120602099</v>
      </c>
      <c r="K22" s="239">
        <f t="shared" si="4"/>
        <v>70.62</v>
      </c>
      <c r="L22" s="57">
        <f t="shared" si="10"/>
        <v>206</v>
      </c>
      <c r="M22" s="153">
        <v>1</v>
      </c>
      <c r="N22" s="279">
        <f t="shared" si="5"/>
        <v>1</v>
      </c>
      <c r="O22" s="253" t="str">
        <f t="shared" si="8"/>
        <v>"Δευτέρα - Κυριακή: 24 ώρες &amp; αργίες Μέσω τηλεφώνου 13831  ή 13731 (ατελώς)"</v>
      </c>
      <c r="P22" s="253" t="str">
        <f t="shared" si="6"/>
        <v>Οποτεδήποτε μέσα σε 8 ώρες</v>
      </c>
      <c r="Q22" s="254" t="str">
        <f t="shared" si="6"/>
        <v/>
      </c>
      <c r="S22" s="126" t="str">
        <f t="shared" si="7"/>
        <v/>
      </c>
      <c r="T22" s="188" t="str">
        <f>IF(AND(L22="",ΠΕΡΙΦΕΡΕΙΑ!B6&lt;&gt;"Καθόλου"),U8,IF(AND(ΠΕΡΙΦΕΡΕΙΑ!B6="Καθόλου",OR(H22&lt;&gt;"",J22&lt;&gt;"")),"Η περιφέρεια δεν καλύπτεται",""))</f>
        <v/>
      </c>
      <c r="Y22" s="187"/>
    </row>
    <row r="23" spans="1:25" ht="30" x14ac:dyDescent="0.25">
      <c r="A23" s="42" t="str">
        <f t="shared" si="1"/>
        <v>B07</v>
      </c>
      <c r="B23" s="39" t="str">
        <f t="shared" si="1"/>
        <v>FORTHNET</v>
      </c>
      <c r="C23" s="39" t="str">
        <f t="shared" si="2"/>
        <v>Έμμεση</v>
      </c>
      <c r="D23" s="226">
        <f>IF(S23="",IF(ΓΕΝΙΚΑ!$B$20="ΝΑΙ",14674,""),"")</f>
        <v>14674</v>
      </c>
      <c r="E23" s="217" t="str">
        <f>IF(ΓΕΝΙΚΑ!$B$22="ΝΑΙ","Π. ΗΠΕΙΡΟΥ","")</f>
        <v>Π. ΗΠΕΙΡΟΥ</v>
      </c>
      <c r="F23" s="7" t="s">
        <v>407</v>
      </c>
      <c r="G23" s="7">
        <v>95</v>
      </c>
      <c r="H23" s="135">
        <v>238.2436375751675</v>
      </c>
      <c r="I23" s="239">
        <f t="shared" si="9"/>
        <v>238.24</v>
      </c>
      <c r="J23" s="135">
        <v>170.75636242483253</v>
      </c>
      <c r="K23" s="239">
        <f t="shared" si="4"/>
        <v>170.76</v>
      </c>
      <c r="L23" s="57">
        <f t="shared" si="10"/>
        <v>409</v>
      </c>
      <c r="M23" s="153">
        <v>2</v>
      </c>
      <c r="N23" s="279">
        <f t="shared" si="5"/>
        <v>2</v>
      </c>
      <c r="O23" s="253" t="str">
        <f t="shared" si="8"/>
        <v>"Δευτέρα - Κυριακή: 24 ώρες &amp; αργίες Μέσω τηλεφώνου 13831  ή 13731 (ατελώς)"</v>
      </c>
      <c r="P23" s="253" t="str">
        <f t="shared" si="6"/>
        <v>Οποτεδήποτε μέσα σε 8 ώρες</v>
      </c>
      <c r="Q23" s="254" t="str">
        <f t="shared" si="6"/>
        <v/>
      </c>
      <c r="S23" s="126" t="str">
        <f t="shared" si="7"/>
        <v/>
      </c>
      <c r="T23" s="188" t="str">
        <f>IF(AND(L23="",ΠΕΡΙΦΕΡΕΙΑ!B7&lt;&gt;"Καθόλου"),U9,IF(AND(ΠΕΡΙΦΕΡΕΙΑ!B7="Καθόλου",OR(H23&lt;&gt;"",J23&lt;&gt;"")),"Η περιφέρεια δεν καλύπτεται",""))</f>
        <v/>
      </c>
      <c r="Y23" s="187"/>
    </row>
    <row r="24" spans="1:25" ht="30" x14ac:dyDescent="0.25">
      <c r="A24" s="42" t="str">
        <f t="shared" si="1"/>
        <v>B07</v>
      </c>
      <c r="B24" s="39" t="str">
        <f t="shared" si="1"/>
        <v>FORTHNET</v>
      </c>
      <c r="C24" s="39" t="str">
        <f t="shared" si="2"/>
        <v>Έμμεση</v>
      </c>
      <c r="D24" s="213">
        <f>IF(S24="",IF(ΓΕΝΙΚΑ!$B$20="ΝΑΙ",14676,""),"")</f>
        <v>14676</v>
      </c>
      <c r="E24" s="216" t="str">
        <f>IF(ΓΕΝΙΚΑ!$B$22="ΝΑΙ","Π. ΘΕΣΣΑΛΙΑΣ","")</f>
        <v>Π. ΘΕΣΣΑΛΙΑΣ</v>
      </c>
      <c r="F24" s="7" t="s">
        <v>408</v>
      </c>
      <c r="G24" s="7">
        <v>95</v>
      </c>
      <c r="H24" s="135">
        <v>200.22316642280683</v>
      </c>
      <c r="I24" s="239">
        <f t="shared" si="9"/>
        <v>200.22</v>
      </c>
      <c r="J24" s="135">
        <v>99.776833577193202</v>
      </c>
      <c r="K24" s="239">
        <f t="shared" si="4"/>
        <v>99.78</v>
      </c>
      <c r="L24" s="57">
        <f t="shared" si="10"/>
        <v>300</v>
      </c>
      <c r="M24" s="153">
        <v>4</v>
      </c>
      <c r="N24" s="279">
        <f t="shared" si="5"/>
        <v>4</v>
      </c>
      <c r="O24" s="253" t="str">
        <f t="shared" si="8"/>
        <v>"Δευτέρα - Κυριακή: 24 ώρες &amp; αργίες Μέσω τηλεφώνου 13831  ή 13731 (ατελώς)"</v>
      </c>
      <c r="P24" s="253" t="str">
        <f t="shared" si="6"/>
        <v>Οποτεδήποτε μέσα σε 8 ώρες</v>
      </c>
      <c r="Q24" s="254" t="str">
        <f t="shared" si="6"/>
        <v/>
      </c>
      <c r="S24" s="126" t="str">
        <f t="shared" si="7"/>
        <v/>
      </c>
      <c r="T24" s="188" t="str">
        <f>IF(AND(L24="",ΠΕΡΙΦΕΡΕΙΑ!B8&lt;&gt;"Καθόλου"),U10,IF(AND(ΠΕΡΙΦΕΡΕΙΑ!B8="Καθόλου",OR(H24&lt;&gt;"",J24&lt;&gt;"")),"Η περιφέρεια δεν καλύπτεται",""))</f>
        <v/>
      </c>
      <c r="Y24" s="187"/>
    </row>
    <row r="25" spans="1:25" ht="30" x14ac:dyDescent="0.25">
      <c r="A25" s="42" t="str">
        <f t="shared" si="1"/>
        <v>B07</v>
      </c>
      <c r="B25" s="39" t="str">
        <f t="shared" si="1"/>
        <v>FORTHNET</v>
      </c>
      <c r="C25" s="39" t="str">
        <f t="shared" si="2"/>
        <v>Έμμεση</v>
      </c>
      <c r="D25" s="226">
        <f>IF(S25="",IF(ΓΕΝΙΚΑ!$B$20="ΝΑΙ",14678,""),"")</f>
        <v>14678</v>
      </c>
      <c r="E25" s="217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5">
        <v>203.78270660452608</v>
      </c>
      <c r="I25" s="239">
        <f t="shared" si="9"/>
        <v>203.78</v>
      </c>
      <c r="J25" s="135">
        <v>134.21476681386841</v>
      </c>
      <c r="K25" s="239">
        <f t="shared" si="4"/>
        <v>134.21</v>
      </c>
      <c r="L25" s="57">
        <f t="shared" si="10"/>
        <v>338</v>
      </c>
      <c r="M25" s="153">
        <v>1</v>
      </c>
      <c r="N25" s="279">
        <f t="shared" si="5"/>
        <v>1</v>
      </c>
      <c r="O25" s="253" t="str">
        <f t="shared" si="8"/>
        <v>"Δευτέρα - Κυριακή: 24 ώρες &amp; αργίες Μέσω τηλεφώνου 13831  ή 13731 (ατελώς)"</v>
      </c>
      <c r="P25" s="253" t="str">
        <f t="shared" si="6"/>
        <v>Οποτεδήποτε μέσα σε 8 ώρες</v>
      </c>
      <c r="Q25" s="254" t="str">
        <f t="shared" si="6"/>
        <v/>
      </c>
      <c r="S25" s="126" t="str">
        <f t="shared" si="7"/>
        <v/>
      </c>
      <c r="T25" s="188" t="str">
        <f>IF(AND(L25="",ΠΕΡΙΦΕΡΕΙΑ!B9&lt;&gt;"Καθόλου"),U11,IF(AND(ΠΕΡΙΦΕΡΕΙΑ!B9="Καθόλου",OR(H25&lt;&gt;"",J25&lt;&gt;"")),"Η περιφέρεια δεν καλύπτεται",""))</f>
        <v/>
      </c>
      <c r="Y25" s="187"/>
    </row>
    <row r="26" spans="1:25" ht="30" x14ac:dyDescent="0.25">
      <c r="A26" s="42" t="str">
        <f t="shared" si="1"/>
        <v>B07</v>
      </c>
      <c r="B26" s="39" t="str">
        <f t="shared" si="1"/>
        <v>FORTHNET</v>
      </c>
      <c r="C26" s="39" t="str">
        <f t="shared" si="2"/>
        <v>Έμμεση</v>
      </c>
      <c r="D26" s="213">
        <f>IF(S26="",IF(ΓΕΝΙΚΑ!$B$20="ΝΑΙ",14680,""),"")</f>
        <v>14680</v>
      </c>
      <c r="E26" s="216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5">
        <v>347.22632416100248</v>
      </c>
      <c r="I26" s="239">
        <f t="shared" si="9"/>
        <v>347.23</v>
      </c>
      <c r="J26" s="135">
        <v>154.77367583899749</v>
      </c>
      <c r="K26" s="239">
        <f t="shared" si="4"/>
        <v>154.77000000000001</v>
      </c>
      <c r="L26" s="57">
        <f t="shared" si="10"/>
        <v>502</v>
      </c>
      <c r="M26" s="153">
        <v>16</v>
      </c>
      <c r="N26" s="279">
        <f t="shared" si="5"/>
        <v>16</v>
      </c>
      <c r="O26" s="253" t="str">
        <f t="shared" si="8"/>
        <v>"Δευτέρα - Κυριακή: 24 ώρες &amp; αργίες Μέσω τηλεφώνου 13831  ή 13731 (ατελώς)"</v>
      </c>
      <c r="P26" s="253" t="str">
        <f t="shared" si="6"/>
        <v>Οποτεδήποτε μέσα σε 8 ώρες</v>
      </c>
      <c r="Q26" s="254" t="str">
        <f t="shared" si="6"/>
        <v/>
      </c>
      <c r="S26" s="126" t="str">
        <f t="shared" si="7"/>
        <v/>
      </c>
      <c r="T26" s="188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7"/>
    </row>
    <row r="27" spans="1:25" ht="30" x14ac:dyDescent="0.25">
      <c r="A27" s="42" t="str">
        <f t="shared" si="1"/>
        <v>B07</v>
      </c>
      <c r="B27" s="39" t="str">
        <f t="shared" si="1"/>
        <v>FORTHNET</v>
      </c>
      <c r="C27" s="39" t="str">
        <f t="shared" si="2"/>
        <v>Έμμεση</v>
      </c>
      <c r="D27" s="226">
        <f>IF(S27="",IF(ΓΕΝΙΚΑ!$B$20="ΝΑΙ",14682,""),"")</f>
        <v>14682</v>
      </c>
      <c r="E27" s="217" t="str">
        <f>IF(ΓΕΝΙΚΑ!$B$22="ΝΑΙ","Π. ΚΡΗΤΗΣ","")</f>
        <v>Π. ΚΡΗΤΗΣ</v>
      </c>
      <c r="F27" s="7" t="s">
        <v>411</v>
      </c>
      <c r="G27" s="7">
        <v>95</v>
      </c>
      <c r="H27" s="135">
        <v>223.5955466889456</v>
      </c>
      <c r="I27" s="239">
        <f t="shared" si="9"/>
        <v>223.6</v>
      </c>
      <c r="J27" s="135">
        <v>100.40445331105441</v>
      </c>
      <c r="K27" s="239">
        <f t="shared" si="4"/>
        <v>100.4</v>
      </c>
      <c r="L27" s="57">
        <f t="shared" si="10"/>
        <v>324</v>
      </c>
      <c r="M27" s="153">
        <v>1</v>
      </c>
      <c r="N27" s="279">
        <f t="shared" si="5"/>
        <v>1</v>
      </c>
      <c r="O27" s="253" t="str">
        <f t="shared" si="8"/>
        <v>"Δευτέρα - Κυριακή: 24 ώρες &amp; αργίες Μέσω τηλεφώνου 13831  ή 13731 (ατελώς)"</v>
      </c>
      <c r="P27" s="253" t="str">
        <f t="shared" si="6"/>
        <v>Οποτεδήποτε μέσα σε 8 ώρες</v>
      </c>
      <c r="Q27" s="254" t="str">
        <f t="shared" si="6"/>
        <v/>
      </c>
      <c r="S27" s="126" t="str">
        <f t="shared" si="7"/>
        <v/>
      </c>
      <c r="T27" s="188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7"/>
    </row>
    <row r="28" spans="1:25" ht="30" x14ac:dyDescent="0.25">
      <c r="A28" s="42" t="str">
        <f t="shared" si="1"/>
        <v>B07</v>
      </c>
      <c r="B28" s="39" t="str">
        <f t="shared" si="1"/>
        <v>FORTHNET</v>
      </c>
      <c r="C28" s="39" t="str">
        <f t="shared" si="2"/>
        <v>Έμμεση</v>
      </c>
      <c r="D28" s="213">
        <f>IF(S28="",IF(ΓΕΝΙΚΑ!$B$20="ΝΑΙ",14684,""),"")</f>
        <v>14684</v>
      </c>
      <c r="E28" s="216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5">
        <v>246.8585390787558</v>
      </c>
      <c r="I28" s="239">
        <f t="shared" si="9"/>
        <v>246.86</v>
      </c>
      <c r="J28" s="135">
        <v>123.1414609212442</v>
      </c>
      <c r="K28" s="239">
        <f t="shared" si="4"/>
        <v>123.14</v>
      </c>
      <c r="L28" s="57">
        <f t="shared" si="10"/>
        <v>370</v>
      </c>
      <c r="M28" s="153">
        <v>2</v>
      </c>
      <c r="N28" s="279">
        <f t="shared" si="5"/>
        <v>2</v>
      </c>
      <c r="O28" s="253" t="str">
        <f t="shared" si="8"/>
        <v>"Δευτέρα - Κυριακή: 24 ώρες &amp; αργίες Μέσω τηλεφώνου 13831  ή 13731 (ατελώς)"</v>
      </c>
      <c r="P28" s="253" t="str">
        <f t="shared" si="6"/>
        <v>Οποτεδήποτε μέσα σε 8 ώρες</v>
      </c>
      <c r="Q28" s="254" t="str">
        <f t="shared" si="6"/>
        <v/>
      </c>
      <c r="S28" s="126" t="str">
        <f t="shared" si="7"/>
        <v/>
      </c>
      <c r="T28" s="188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7"/>
    </row>
    <row r="29" spans="1:25" ht="30" x14ac:dyDescent="0.25">
      <c r="A29" s="42" t="str">
        <f t="shared" si="1"/>
        <v>B07</v>
      </c>
      <c r="B29" s="39" t="str">
        <f t="shared" si="1"/>
        <v>FORTHNET</v>
      </c>
      <c r="C29" s="39" t="str">
        <f t="shared" si="2"/>
        <v>Έμμεση</v>
      </c>
      <c r="D29" s="226">
        <f>IF(S29="",IF(ΓΕΝΙΚΑ!$B$20="ΝΑΙ",14686,""),"")</f>
        <v>14686</v>
      </c>
      <c r="E29" s="217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5">
        <v>357.92527060522872</v>
      </c>
      <c r="I29" s="239">
        <f t="shared" si="9"/>
        <v>357.93</v>
      </c>
      <c r="J29" s="135">
        <v>103.0747293947713</v>
      </c>
      <c r="K29" s="239">
        <f t="shared" si="4"/>
        <v>103.07</v>
      </c>
      <c r="L29" s="57">
        <f t="shared" si="10"/>
        <v>461</v>
      </c>
      <c r="M29" s="153">
        <v>1</v>
      </c>
      <c r="N29" s="279">
        <f t="shared" si="5"/>
        <v>1</v>
      </c>
      <c r="O29" s="253" t="str">
        <f t="shared" si="8"/>
        <v>"Δευτέρα - Κυριακή: 24 ώρες &amp; αργίες Μέσω τηλεφώνου 13831  ή 13731 (ατελώς)"</v>
      </c>
      <c r="P29" s="253" t="str">
        <f t="shared" si="6"/>
        <v>Οποτεδήποτε μέσα σε 8 ώρες</v>
      </c>
      <c r="Q29" s="254" t="str">
        <f t="shared" si="6"/>
        <v/>
      </c>
      <c r="S29" s="126" t="str">
        <f t="shared" si="7"/>
        <v/>
      </c>
      <c r="T29" s="188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7"/>
    </row>
    <row r="30" spans="1:25" ht="30.75" thickBot="1" x14ac:dyDescent="0.3">
      <c r="A30" s="43" t="str">
        <f t="shared" si="1"/>
        <v>B07</v>
      </c>
      <c r="B30" s="44" t="str">
        <f t="shared" si="1"/>
        <v>FORTHNET</v>
      </c>
      <c r="C30" s="44" t="str">
        <f t="shared" si="2"/>
        <v>Έμμεση</v>
      </c>
      <c r="D30" s="214">
        <f>IF(S30="",IF(ΓΕΝΙΚΑ!$B$20="ΝΑΙ",14688,""),"")</f>
        <v>14688</v>
      </c>
      <c r="E30" s="218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5">
        <v>231.82855844724884</v>
      </c>
      <c r="I30" s="239">
        <f t="shared" si="9"/>
        <v>231.83</v>
      </c>
      <c r="J30" s="135">
        <v>135.17144155275113</v>
      </c>
      <c r="K30" s="239">
        <f t="shared" si="4"/>
        <v>135.16999999999999</v>
      </c>
      <c r="L30" s="293">
        <f t="shared" si="10"/>
        <v>367</v>
      </c>
      <c r="M30" s="153">
        <v>4</v>
      </c>
      <c r="N30" s="279">
        <f t="shared" si="5"/>
        <v>4</v>
      </c>
      <c r="O30" s="255" t="str">
        <f t="shared" si="8"/>
        <v>"Δευτέρα - Κυριακή: 24 ώρες &amp; αργίες Μέσω τηλεφώνου 13831  ή 13731 (ατελώς)"</v>
      </c>
      <c r="P30" s="255" t="str">
        <f t="shared" si="6"/>
        <v>Οποτεδήποτε μέσα σε 8 ώρες</v>
      </c>
      <c r="Q30" s="256" t="str">
        <f t="shared" si="6"/>
        <v/>
      </c>
      <c r="S30" s="127" t="str">
        <f t="shared" si="7"/>
        <v/>
      </c>
      <c r="T30" s="189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7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zoomScale="85" zoomScaleNormal="85" workbookViewId="0">
      <selection activeCell="G4" sqref="G4"/>
    </sheetView>
  </sheetViews>
  <sheetFormatPr defaultColWidth="0" defaultRowHeight="15" zeroHeight="1" x14ac:dyDescent="0.25"/>
  <cols>
    <col min="1" max="1" width="50" style="164" customWidth="1"/>
    <col min="2" max="2" width="23" style="164" hidden="1" customWidth="1"/>
    <col min="3" max="4" width="23" style="241" hidden="1" customWidth="1"/>
    <col min="5" max="6" width="23" style="164" customWidth="1"/>
    <col min="7" max="7" width="35.85546875" style="164" customWidth="1"/>
    <col min="8" max="9" width="28.28515625" style="164" customWidth="1"/>
    <col min="10" max="10" width="69.42578125" style="164" customWidth="1"/>
    <col min="11" max="11" width="56" style="164" customWidth="1"/>
    <col min="12" max="12" width="35.28515625" style="164" customWidth="1"/>
    <col min="13" max="14" width="28.28515625" style="164" customWidth="1"/>
    <col min="15" max="15" width="37.28515625" style="164" customWidth="1"/>
    <col min="16" max="16" width="63.140625" style="164" customWidth="1"/>
    <col min="17" max="17" width="9.140625" style="164" customWidth="1"/>
    <col min="18" max="18" width="16.140625" style="164" customWidth="1"/>
    <col min="19" max="19" width="72.7109375" style="164" customWidth="1"/>
    <col min="20" max="16384" width="9.140625" style="164" hidden="1"/>
  </cols>
  <sheetData>
    <row r="1" spans="1:25" ht="15.75" hidden="1" thickBot="1" x14ac:dyDescent="0.3">
      <c r="A1" t="s">
        <v>505</v>
      </c>
      <c r="B1" t="s">
        <v>504</v>
      </c>
      <c r="C1" s="220" t="s">
        <v>905</v>
      </c>
      <c r="D1" s="220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21"/>
      <c r="D2" s="221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80" t="s">
        <v>477</v>
      </c>
      <c r="M2" s="180" t="s">
        <v>478</v>
      </c>
      <c r="N2" s="180" t="s">
        <v>479</v>
      </c>
      <c r="O2" s="4" t="s">
        <v>484</v>
      </c>
      <c r="P2" s="23" t="s">
        <v>421</v>
      </c>
      <c r="R2" s="125" t="s">
        <v>452</v>
      </c>
      <c r="S2" s="107" t="s">
        <v>553</v>
      </c>
    </row>
    <row r="3" spans="1:25" ht="75" customHeight="1" thickTop="1" x14ac:dyDescent="0.25">
      <c r="A3" s="18" t="s">
        <v>480</v>
      </c>
      <c r="B3" s="243" t="str">
        <f>ΓΕΝΙΚΑ!C4</f>
        <v>FORTHNET</v>
      </c>
      <c r="C3" s="219">
        <f>IF(ΓΕΝΙΚΑ!$B$23="ΝΑΙ",15300,"")</f>
        <v>15300</v>
      </c>
      <c r="D3" s="219" t="str">
        <f>IF(ΓΕΝΙΚΑ!$B$23="ΝΑΙ","ΠΑΝΕΛΛΑΔΙΚΑ","")</f>
        <v>ΠΑΝΕΛΛΑΔΙΚΑ</v>
      </c>
      <c r="E3" s="19" t="s">
        <v>555</v>
      </c>
      <c r="F3" s="156" t="s">
        <v>435</v>
      </c>
      <c r="G3" s="311">
        <v>44377</v>
      </c>
      <c r="H3" s="157" t="s">
        <v>952</v>
      </c>
      <c r="I3" s="157" t="s">
        <v>952</v>
      </c>
      <c r="J3" s="157" t="s">
        <v>952</v>
      </c>
      <c r="K3" s="157" t="s">
        <v>952</v>
      </c>
      <c r="L3" s="157" t="s">
        <v>953</v>
      </c>
      <c r="M3" s="157"/>
      <c r="N3" s="157"/>
      <c r="O3" s="157"/>
      <c r="P3" s="280" t="s">
        <v>925</v>
      </c>
      <c r="R3" s="126" t="str">
        <f>IF(S3="","","ΣΦΑΛΜΑ")</f>
        <v/>
      </c>
      <c r="S3" s="154" t="str">
        <f>CONCATENATE(IF(F3="","Πρέπει να συμπληρωθεί υποχρεωτικά ο τύπος υπηρεσίας",""),IF(Y3&lt;&gt;0,"Σφάλμα ημερομηνίας",""),)</f>
        <v/>
      </c>
      <c r="T3" s="164" t="str">
        <f>TEXT($G$3,"ΗΗ/ΜΜ/ΕΕΕΕ")</f>
        <v>30/06/2021</v>
      </c>
      <c r="U3" s="164">
        <f>_xlfn.NUMBERVALUE(LEFT(T3,2))</f>
        <v>30</v>
      </c>
      <c r="V3" s="164">
        <f>_xlfn.NUMBERVALUE(MID(T3,4,2))</f>
        <v>6</v>
      </c>
      <c r="W3" s="164">
        <f>_xlfn.NUMBERVALUE(RIGHT(T3,4))</f>
        <v>2021</v>
      </c>
      <c r="X3" s="164">
        <f>IF(LEN((T3)=10),0,1)+IF(AND(U3&gt;0,U3&lt;32),0,1)+IF(AND(V3&gt;0,V3&lt;13),0,1)+IF(AND(W3&gt;2000,W3&lt;2030),0,1)</f>
        <v>0</v>
      </c>
      <c r="Y3" s="164">
        <f>IF(ISERR(X3),1,X3)</f>
        <v>0</v>
      </c>
    </row>
    <row r="4" spans="1:25" ht="75" customHeight="1" x14ac:dyDescent="0.25">
      <c r="A4" s="14" t="str">
        <f>A3</f>
        <v>B08</v>
      </c>
      <c r="B4" s="244" t="str">
        <f>B3</f>
        <v>FORTHNET</v>
      </c>
      <c r="C4" s="219">
        <f>IF(ΓΕΝΙΚΑ!$B$23="ΝΑΙ",15300,"")</f>
        <v>15300</v>
      </c>
      <c r="D4" s="219" t="str">
        <f>IF(ΓΕΝΙΚΑ!$B$23="ΝΑΙ","ΠΑΝΕΛΛΑΔΙΚΑ","")</f>
        <v>ΠΑΝΕΛΛΑΔΙΚΑ</v>
      </c>
      <c r="E4" s="19" t="s">
        <v>555</v>
      </c>
      <c r="F4" s="54" t="str">
        <f>F3</f>
        <v>Έμμεση</v>
      </c>
      <c r="G4" s="55">
        <f>G3</f>
        <v>44377</v>
      </c>
      <c r="H4" s="311"/>
      <c r="I4" s="287" t="s">
        <v>925</v>
      </c>
      <c r="J4" s="158"/>
      <c r="K4" s="287" t="s">
        <v>925</v>
      </c>
      <c r="L4" s="287" t="s">
        <v>925</v>
      </c>
      <c r="M4" s="287" t="s">
        <v>925</v>
      </c>
      <c r="N4" s="285" t="s">
        <v>925</v>
      </c>
      <c r="O4" s="283" t="s">
        <v>925</v>
      </c>
      <c r="P4" s="281" t="s">
        <v>925</v>
      </c>
      <c r="R4" s="126" t="str">
        <f>IF(S4="","","ΣΦΑΛΜΑ")</f>
        <v/>
      </c>
      <c r="S4" s="155" t="str">
        <f>CONCATENATE(IF(F4="","Πρέπει να συμπληρωθεί υποχρεωτικά ο τύπος υπηρεσίας",""),IF(Y4&lt;&gt;0,"Σφάλμα ημερομηνίας",""),)</f>
        <v/>
      </c>
      <c r="T4" s="241" t="str">
        <f>TEXT($G$3,"ΗΗ/ΜΜ/ΕΕΕΕ")</f>
        <v>30/06/2021</v>
      </c>
      <c r="U4" s="164">
        <f>_xlfn.NUMBERVALUE(LEFT(T4,2))</f>
        <v>30</v>
      </c>
      <c r="V4" s="164">
        <f>_xlfn.NUMBERVALUE(MID(T4,4,2))</f>
        <v>6</v>
      </c>
      <c r="W4" s="164">
        <f>_xlfn.NUMBERVALUE(RIGHT(T4,4))</f>
        <v>2021</v>
      </c>
      <c r="X4" s="164">
        <f>IF(LEN((T4)=10),0,1)+IF(AND(U4&gt;0,U4&lt;32),0,1)+IF(AND(V4&gt;0,V4&lt;13),0,1)+IF(AND(W4&gt;2000,W4&lt;2030),0,1)</f>
        <v>0</v>
      </c>
      <c r="Y4" s="164">
        <f>IF(ISERR(X4),1,X4)</f>
        <v>0</v>
      </c>
    </row>
    <row r="5" spans="1:25" ht="75" customHeight="1" x14ac:dyDescent="0.25">
      <c r="A5" s="14" t="str">
        <f>A3</f>
        <v>B08</v>
      </c>
      <c r="B5" s="244" t="str">
        <f>B3</f>
        <v>FORTHNET</v>
      </c>
      <c r="C5" s="219">
        <f>IF(ΓΕΝΙΚΑ!$B$23="ΝΑΙ",15300,"")</f>
        <v>15300</v>
      </c>
      <c r="D5" s="219" t="str">
        <f>IF(ΓΕΝΙΚΑ!$B$23="ΝΑΙ","ΠΑΝΕΛΛΑΔΙΚΑ","")</f>
        <v>ΠΑΝΕΛΛΑΔΙΚΑ</v>
      </c>
      <c r="E5" s="19" t="s">
        <v>555</v>
      </c>
      <c r="F5" s="54" t="str">
        <f>F3</f>
        <v>Έμμεση</v>
      </c>
      <c r="G5" s="55">
        <f>G3</f>
        <v>44377</v>
      </c>
      <c r="H5" s="287" t="s">
        <v>925</v>
      </c>
      <c r="I5" s="287" t="s">
        <v>925</v>
      </c>
      <c r="J5" s="158"/>
      <c r="K5" s="287" t="s">
        <v>925</v>
      </c>
      <c r="L5" s="287" t="s">
        <v>925</v>
      </c>
      <c r="M5" s="287" t="s">
        <v>925</v>
      </c>
      <c r="N5" s="285" t="s">
        <v>925</v>
      </c>
      <c r="O5" s="283" t="s">
        <v>925</v>
      </c>
      <c r="P5" s="281" t="s">
        <v>925</v>
      </c>
      <c r="R5" s="126" t="str">
        <f>IF(S5="","","ΣΦΑΛΜΑ")</f>
        <v/>
      </c>
      <c r="S5" s="155" t="str">
        <f>CONCATENATE(IF(F5="","Πρέπει να συμπληρωθεί υποχρεωτικά ο τύπος υπηρεσίας",""),IF(Y5&lt;&gt;0,"Σφάλμα ημερομηνίας",""),)</f>
        <v/>
      </c>
      <c r="T5" s="241" t="str">
        <f>TEXT($G$3,"ΗΗ/ΜΜ/ΕΕΕΕ")</f>
        <v>30/06/2021</v>
      </c>
      <c r="U5" s="164">
        <f>_xlfn.NUMBERVALUE(LEFT(T5,2))</f>
        <v>30</v>
      </c>
      <c r="V5" s="164">
        <f>_xlfn.NUMBERVALUE(MID(T5,4,2))</f>
        <v>6</v>
      </c>
      <c r="W5" s="164">
        <f>_xlfn.NUMBERVALUE(RIGHT(T5,4))</f>
        <v>2021</v>
      </c>
      <c r="X5" s="164">
        <f>IF(LEN((T5)=10),0,1)+IF(AND(U5&gt;0,U5&lt;32),0,1)+IF(AND(V5&gt;0,V5&lt;13),0,1)+IF(AND(W5&gt;2000,W5&lt;2030),0,1)</f>
        <v>0</v>
      </c>
      <c r="Y5" s="164">
        <f>IF(ISERR(X5),1,X5)</f>
        <v>0</v>
      </c>
    </row>
    <row r="6" spans="1:25" ht="75" customHeight="1" x14ac:dyDescent="0.25">
      <c r="A6" s="14" t="str">
        <f>A3</f>
        <v>B08</v>
      </c>
      <c r="B6" s="244" t="str">
        <f>B3</f>
        <v>FORTHNET</v>
      </c>
      <c r="C6" s="219">
        <f>IF(ΓΕΝΙΚΑ!$B$23="ΝΑΙ",15300,"")</f>
        <v>15300</v>
      </c>
      <c r="D6" s="219" t="str">
        <f>IF(ΓΕΝΙΚΑ!$B$23="ΝΑΙ","ΠΑΝΕΛΛΑΔΙΚΑ","")</f>
        <v>ΠΑΝΕΛΛΑΔΙΚΑ</v>
      </c>
      <c r="E6" s="19" t="s">
        <v>555</v>
      </c>
      <c r="F6" s="54" t="str">
        <f>F3</f>
        <v>Έμμεση</v>
      </c>
      <c r="G6" s="55">
        <f>G3</f>
        <v>44377</v>
      </c>
      <c r="H6" s="287" t="s">
        <v>925</v>
      </c>
      <c r="I6" s="287" t="s">
        <v>925</v>
      </c>
      <c r="J6" s="158"/>
      <c r="K6" s="287" t="s">
        <v>925</v>
      </c>
      <c r="L6" s="287" t="s">
        <v>925</v>
      </c>
      <c r="M6" s="287" t="s">
        <v>925</v>
      </c>
      <c r="N6" s="285" t="s">
        <v>925</v>
      </c>
      <c r="O6" s="283" t="s">
        <v>925</v>
      </c>
      <c r="P6" s="281" t="s">
        <v>925</v>
      </c>
      <c r="R6" s="126" t="str">
        <f>IF(S6="","","ΣΦΑΛΜΑ")</f>
        <v/>
      </c>
      <c r="S6" s="155" t="str">
        <f>CONCATENATE(IF(F6="","Πρέπει να συμπληρωθεί υποχρεωτικά ο τύπος υπηρεσίας",""),IF(Y6&lt;&gt;0,"Σφάλμα ημερομηνίας",""),)</f>
        <v/>
      </c>
      <c r="T6" s="241" t="str">
        <f>TEXT($G$3,"ΗΗ/ΜΜ/ΕΕΕΕ")</f>
        <v>30/06/2021</v>
      </c>
      <c r="U6" s="164">
        <f>_xlfn.NUMBERVALUE(LEFT(T6,2))</f>
        <v>30</v>
      </c>
      <c r="V6" s="164">
        <f>_xlfn.NUMBERVALUE(MID(T6,4,2))</f>
        <v>6</v>
      </c>
      <c r="W6" s="164">
        <f>_xlfn.NUMBERVALUE(RIGHT(T6,4))</f>
        <v>2021</v>
      </c>
      <c r="X6" s="164">
        <f>IF(LEN((T6)=10),0,1)+IF(AND(U6&gt;0,U6&lt;32),0,1)+IF(AND(V6&gt;0,V6&lt;13),0,1)+IF(AND(W6&gt;2000,W6&lt;2030),0,1)</f>
        <v>0</v>
      </c>
      <c r="Y6" s="164">
        <f>IF(ISERR(X6),1,X6)</f>
        <v>0</v>
      </c>
    </row>
    <row r="7" spans="1:25" ht="75" customHeight="1" thickBot="1" x14ac:dyDescent="0.3">
      <c r="A7" s="16" t="str">
        <f>A3</f>
        <v>B08</v>
      </c>
      <c r="B7" s="245" t="str">
        <f>B3</f>
        <v>FORTHNET</v>
      </c>
      <c r="C7" s="219">
        <f>IF(ΓΕΝΙΚΑ!$B$23="ΝΑΙ",15300,"")</f>
        <v>15300</v>
      </c>
      <c r="D7" s="219" t="str">
        <f>IF(ΓΕΝΙΚΑ!$B$23="ΝΑΙ","ΠΑΝΕΛΛΑΔΙΚΑ","")</f>
        <v>ΠΑΝΕΛΛΑΔΙΚΑ</v>
      </c>
      <c r="E7" s="19" t="s">
        <v>555</v>
      </c>
      <c r="F7" s="22" t="str">
        <f>F3</f>
        <v>Έμμεση</v>
      </c>
      <c r="G7" s="56">
        <f>G3</f>
        <v>44377</v>
      </c>
      <c r="H7" s="288" t="s">
        <v>925</v>
      </c>
      <c r="I7" s="288" t="s">
        <v>925</v>
      </c>
      <c r="J7" s="294"/>
      <c r="K7" s="288" t="s">
        <v>925</v>
      </c>
      <c r="L7" s="288" t="s">
        <v>925</v>
      </c>
      <c r="M7" s="288" t="s">
        <v>925</v>
      </c>
      <c r="N7" s="286" t="s">
        <v>925</v>
      </c>
      <c r="O7" s="284" t="s">
        <v>925</v>
      </c>
      <c r="P7" s="282" t="s">
        <v>925</v>
      </c>
      <c r="R7" s="127" t="str">
        <f>IF(S7="","","ΣΦΑΛΜΑ")</f>
        <v/>
      </c>
      <c r="S7" s="149" t="str">
        <f>CONCATENATE(IF(F7="","Πρέπει να συμπληρωθεί υποχρεωτικά ο τύπος υπηρεσίας",""),IF(Y7&lt;&gt;0,"Σφάλμα ημερομηνίας",""),)</f>
        <v/>
      </c>
      <c r="T7" s="241" t="str">
        <f>TEXT($G$3,"ΗΗ/ΜΜ/ΕΕΕΕ")</f>
        <v>30/06/2021</v>
      </c>
      <c r="U7" s="164">
        <f>_xlfn.NUMBERVALUE(LEFT(T7,2))</f>
        <v>30</v>
      </c>
      <c r="V7" s="164">
        <f>_xlfn.NUMBERVALUE(MID(T7,4,2))</f>
        <v>6</v>
      </c>
      <c r="W7" s="164">
        <f>_xlfn.NUMBERVALUE(RIGHT(T7,4))</f>
        <v>2021</v>
      </c>
      <c r="X7" s="164">
        <f>IF(LEN((T7)=10),0,1)+IF(AND(U7&gt;0,U7&lt;32),0,1)+IF(AND(V7&gt;0,V7&lt;13),0,1)+IF(AND(W7&gt;2000,W7&lt;2030),0,1)</f>
        <v>0</v>
      </c>
      <c r="Y7" s="164">
        <f>IF(ISERR(X7),1,X7)</f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13" sqref="F13"/>
    </sheetView>
  </sheetViews>
  <sheetFormatPr defaultColWidth="9.140625" defaultRowHeight="15" x14ac:dyDescent="0.25"/>
  <cols>
    <col min="1" max="1" width="39.7109375" style="164" customWidth="1"/>
    <col min="2" max="2" width="20" style="164" customWidth="1"/>
    <col min="3" max="5" width="37.140625" style="164" hidden="1" customWidth="1"/>
    <col min="6" max="6" width="37.140625" style="164" customWidth="1"/>
    <col min="7" max="9" width="9.140625" style="164"/>
    <col min="10" max="14" width="37.140625" style="164" customWidth="1"/>
    <col min="15" max="16384" width="9.140625" style="164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9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9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1" t="s">
        <v>404</v>
      </c>
      <c r="B4" s="159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9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1" t="s">
        <v>406</v>
      </c>
      <c r="B6" s="159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1" t="s">
        <v>407</v>
      </c>
      <c r="B7" s="159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1" t="s">
        <v>408</v>
      </c>
      <c r="B8" s="159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1" t="s">
        <v>409</v>
      </c>
      <c r="B9" s="159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9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1" t="s">
        <v>411</v>
      </c>
      <c r="B11" s="159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1" t="s">
        <v>412</v>
      </c>
      <c r="B12" s="159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9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2" t="s">
        <v>414</v>
      </c>
      <c r="B14" s="159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64" t="str">
        <f>CONCATENATE(C2,C3,C4,C5,C6,C7,C8,C9,C10,C11,C12,C13,C14)</f>
        <v/>
      </c>
      <c r="D15" s="164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64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xmlns:xlrd2="http://schemas.microsoft.com/office/spreadsheetml/2017/richdata2"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J191" sqref="A191:XFD191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4" bestFit="1" customWidth="1"/>
    <col min="11" max="11" width="34.140625" style="164" customWidth="1"/>
    <col min="12" max="12" width="16.7109375" style="164" customWidth="1"/>
    <col min="13" max="13" width="36" style="81" hidden="1" customWidth="1"/>
    <col min="14" max="14" width="32.85546875" style="81" hidden="1" customWidth="1"/>
    <col min="15" max="16384" width="9.140625" style="164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5" t="s">
        <v>581</v>
      </c>
      <c r="F2" s="195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60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5" t="s">
        <v>582</v>
      </c>
      <c r="F3" s="195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60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5" t="s">
        <v>583</v>
      </c>
      <c r="F4" s="195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60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5" t="s">
        <v>584</v>
      </c>
      <c r="F5" s="195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60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5" t="s">
        <v>585</v>
      </c>
      <c r="F6" s="195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60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5" t="s">
        <v>586</v>
      </c>
      <c r="F7" s="195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60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5" t="s">
        <v>587</v>
      </c>
      <c r="F8" s="195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60" t="s">
        <v>419</v>
      </c>
      <c r="M8" t="str">
        <f t="shared" si="0"/>
        <v xml:space="preserve">ΑΝΑΤΟΛΙΚΗΣ ΜΑΚΕΔΟΝΙΑΣ ΚΑΙ ΘΡΑΚΗΣ - ΘΑΣΟΥ, </v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5" t="s">
        <v>588</v>
      </c>
      <c r="F9" s="195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60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5" t="s">
        <v>589</v>
      </c>
      <c r="F10" s="195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60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5" t="s">
        <v>590</v>
      </c>
      <c r="F11" s="195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60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5" t="s">
        <v>591</v>
      </c>
      <c r="F12" s="195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60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5" t="s">
        <v>592</v>
      </c>
      <c r="F13" s="195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60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5" t="s">
        <v>593</v>
      </c>
      <c r="F14" s="195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60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5" t="s">
        <v>594</v>
      </c>
      <c r="F15" s="195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60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5" t="s">
        <v>595</v>
      </c>
      <c r="F16" s="195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60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5" t="s">
        <v>596</v>
      </c>
      <c r="F17" s="195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60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5" t="s">
        <v>597</v>
      </c>
      <c r="F18" s="195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60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5" t="s">
        <v>598</v>
      </c>
      <c r="F19" s="195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60" t="s">
        <v>419</v>
      </c>
      <c r="M19" t="str">
        <f t="shared" si="0"/>
        <v xml:space="preserve">ΑΝΑΤΟΛΙΚΗΣ ΜΑΚΕΔΟΝΙΑΣ ΚΑΙ ΘΡΑΚΗΣ - ΠΑΡΑΝΕΣΤΙΟΥ, </v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5" t="s">
        <v>599</v>
      </c>
      <c r="F20" s="195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60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5" t="s">
        <v>600</v>
      </c>
      <c r="F21" s="195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60" t="s">
        <v>420</v>
      </c>
      <c r="M21" t="str">
        <f t="shared" si="0"/>
        <v/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5" t="s">
        <v>601</v>
      </c>
      <c r="F22" s="195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60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5" t="s">
        <v>602</v>
      </c>
      <c r="F23" s="195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60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5" t="s">
        <v>603</v>
      </c>
      <c r="F24" s="195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60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5" t="s">
        <v>604</v>
      </c>
      <c r="F25" s="195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60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5" t="s">
        <v>605</v>
      </c>
      <c r="F26" s="195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60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5" t="s">
        <v>606</v>
      </c>
      <c r="F27" s="195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60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5" t="s">
        <v>607</v>
      </c>
      <c r="F28" s="195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60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5" t="s">
        <v>608</v>
      </c>
      <c r="F29" s="195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60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5" t="s">
        <v>609</v>
      </c>
      <c r="F30" s="195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60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5" t="s">
        <v>610</v>
      </c>
      <c r="F31" s="195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60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5" t="s">
        <v>611</v>
      </c>
      <c r="F32" s="195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60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5" t="s">
        <v>612</v>
      </c>
      <c r="F33" s="195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60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5" t="s">
        <v>613</v>
      </c>
      <c r="F34" s="195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60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5" t="s">
        <v>614</v>
      </c>
      <c r="F35" s="195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60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5" t="s">
        <v>615</v>
      </c>
      <c r="F36" s="195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60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5" t="s">
        <v>616</v>
      </c>
      <c r="F37" s="195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60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5" t="s">
        <v>617</v>
      </c>
      <c r="F38" s="195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60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5" t="s">
        <v>618</v>
      </c>
      <c r="F39" s="195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60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5" t="s">
        <v>619</v>
      </c>
      <c r="F40" s="195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60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5" t="s">
        <v>620</v>
      </c>
      <c r="F41" s="195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60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5" t="s">
        <v>621</v>
      </c>
      <c r="F42" s="195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60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5" t="s">
        <v>622</v>
      </c>
      <c r="F43" s="195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60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5" t="s">
        <v>623</v>
      </c>
      <c r="F44" s="195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60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5" t="s">
        <v>624</v>
      </c>
      <c r="F45" s="195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60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5" t="s">
        <v>625</v>
      </c>
      <c r="F46" s="195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60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5"/>
      <c r="F47" s="195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60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5" t="s">
        <v>626</v>
      </c>
      <c r="F48" s="195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60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5" t="s">
        <v>627</v>
      </c>
      <c r="F49" s="195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60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5" t="s">
        <v>628</v>
      </c>
      <c r="F50" s="195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60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5" t="s">
        <v>629</v>
      </c>
      <c r="F51" s="195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60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5" t="s">
        <v>630</v>
      </c>
      <c r="F52" s="195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60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5" t="s">
        <v>631</v>
      </c>
      <c r="F53" s="195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60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5" t="s">
        <v>632</v>
      </c>
      <c r="F54" s="195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60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5" t="s">
        <v>633</v>
      </c>
      <c r="F55" s="195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60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5" t="s">
        <v>634</v>
      </c>
      <c r="F56" s="195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60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5" t="s">
        <v>635</v>
      </c>
      <c r="F57" s="195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60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5" t="s">
        <v>636</v>
      </c>
      <c r="F58" s="195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60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5" t="s">
        <v>637</v>
      </c>
      <c r="F59" s="195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60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5" t="s">
        <v>638</v>
      </c>
      <c r="F60" s="195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60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5" t="s">
        <v>639</v>
      </c>
      <c r="F61" s="195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60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5" t="s">
        <v>640</v>
      </c>
      <c r="F62" s="195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60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5" t="s">
        <v>641</v>
      </c>
      <c r="F63" s="195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60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5" t="s">
        <v>642</v>
      </c>
      <c r="F64" s="195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60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5" t="s">
        <v>643</v>
      </c>
      <c r="F65" s="195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60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5" t="s">
        <v>644</v>
      </c>
      <c r="F66" s="195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60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5" t="s">
        <v>645</v>
      </c>
      <c r="F67" s="195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60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5" t="s">
        <v>646</v>
      </c>
      <c r="F68" s="195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60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5" t="s">
        <v>647</v>
      </c>
      <c r="F69" s="195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60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5" t="s">
        <v>648</v>
      </c>
      <c r="F70" s="195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60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5" t="s">
        <v>649</v>
      </c>
      <c r="F71" s="195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60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5" t="s">
        <v>650</v>
      </c>
      <c r="F72" s="195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60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5" t="s">
        <v>651</v>
      </c>
      <c r="F73" s="195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60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5" t="s">
        <v>652</v>
      </c>
      <c r="F74" s="195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60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5" t="s">
        <v>653</v>
      </c>
      <c r="F75" s="19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60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5" t="s">
        <v>654</v>
      </c>
      <c r="F76" s="195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60" t="s">
        <v>420</v>
      </c>
      <c r="M76" t="str">
        <f t="shared" si="6"/>
        <v/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5" t="s">
        <v>655</v>
      </c>
      <c r="F77" s="195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60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5" t="s">
        <v>656</v>
      </c>
      <c r="F78" s="195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60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5" t="s">
        <v>657</v>
      </c>
      <c r="F79" s="195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60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5" t="s">
        <v>658</v>
      </c>
      <c r="F80" s="195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60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5" t="s">
        <v>659</v>
      </c>
      <c r="F81" s="195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60" t="s">
        <v>420</v>
      </c>
      <c r="M81" t="str">
        <f t="shared" si="6"/>
        <v/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5" t="s">
        <v>660</v>
      </c>
      <c r="F82" s="195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60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5" t="s">
        <v>661</v>
      </c>
      <c r="F83" s="195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60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5" t="s">
        <v>662</v>
      </c>
      <c r="F84" s="195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60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5" t="s">
        <v>663</v>
      </c>
      <c r="F85" s="19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60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5" t="s">
        <v>664</v>
      </c>
      <c r="F86" s="195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60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5" t="s">
        <v>665</v>
      </c>
      <c r="F87" s="195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60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5" t="s">
        <v>666</v>
      </c>
      <c r="F88" s="195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60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5" t="s">
        <v>667</v>
      </c>
      <c r="F89" s="195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60" t="s">
        <v>420</v>
      </c>
      <c r="M89" t="str">
        <f t="shared" si="6"/>
        <v/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5" t="s">
        <v>668</v>
      </c>
      <c r="F90" s="195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60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5" t="s">
        <v>669</v>
      </c>
      <c r="F91" s="195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60" t="s">
        <v>419</v>
      </c>
      <c r="M91" t="str">
        <f t="shared" si="6"/>
        <v xml:space="preserve">ΒΟΡΕΙΟΥ ΑΙΓΑΙΟΥ - ΙΚΑΡΙΑΣ, </v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5" t="s">
        <v>670</v>
      </c>
      <c r="F92" s="195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60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5" t="s">
        <v>671</v>
      </c>
      <c r="F93" s="195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60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5" t="s">
        <v>672</v>
      </c>
      <c r="F94" s="195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60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5" t="s">
        <v>673</v>
      </c>
      <c r="F95" s="1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60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5" t="s">
        <v>674</v>
      </c>
      <c r="F96" s="195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60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5" t="s">
        <v>675</v>
      </c>
      <c r="F97" s="195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60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5" t="s">
        <v>676</v>
      </c>
      <c r="F98" s="195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60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5" t="s">
        <v>677</v>
      </c>
      <c r="F99" s="195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60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5" t="s">
        <v>678</v>
      </c>
      <c r="F100" s="195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60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5" t="s">
        <v>679</v>
      </c>
      <c r="F101" s="195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60" t="s">
        <v>420</v>
      </c>
      <c r="M101" t="str">
        <f t="shared" si="6"/>
        <v/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5" t="s">
        <v>680</v>
      </c>
      <c r="F102" s="195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60" t="s">
        <v>420</v>
      </c>
      <c r="M102" t="str">
        <f t="shared" si="6"/>
        <v/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5" t="s">
        <v>681</v>
      </c>
      <c r="F103" s="195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60" t="s">
        <v>420</v>
      </c>
      <c r="M103" t="str">
        <f t="shared" si="6"/>
        <v/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5" t="s">
        <v>682</v>
      </c>
      <c r="F104" s="195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60" t="s">
        <v>420</v>
      </c>
      <c r="M104" t="str">
        <f t="shared" si="6"/>
        <v/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5" t="s">
        <v>683</v>
      </c>
      <c r="F105" s="19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60" t="s">
        <v>420</v>
      </c>
      <c r="M105" t="str">
        <f t="shared" si="6"/>
        <v/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5" t="s">
        <v>684</v>
      </c>
      <c r="F106" s="195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60" t="s">
        <v>420</v>
      </c>
      <c r="M106" t="str">
        <f t="shared" si="6"/>
        <v/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5" t="s">
        <v>685</v>
      </c>
      <c r="F107" s="195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60" t="s">
        <v>420</v>
      </c>
      <c r="M107" t="str">
        <f t="shared" si="6"/>
        <v/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5" t="s">
        <v>686</v>
      </c>
      <c r="F108" s="195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60" t="s">
        <v>420</v>
      </c>
      <c r="M108" t="str">
        <f t="shared" si="6"/>
        <v/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5" t="s">
        <v>687</v>
      </c>
      <c r="F109" s="195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60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5" t="s">
        <v>688</v>
      </c>
      <c r="F110" s="195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60" t="s">
        <v>420</v>
      </c>
      <c r="M110" t="str">
        <f t="shared" si="6"/>
        <v/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5" t="s">
        <v>689</v>
      </c>
      <c r="F111" s="195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60" t="s">
        <v>420</v>
      </c>
      <c r="M111" t="str">
        <f t="shared" si="6"/>
        <v/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5" t="s">
        <v>690</v>
      </c>
      <c r="F112" s="195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60" t="s">
        <v>420</v>
      </c>
      <c r="M112" t="str">
        <f t="shared" si="6"/>
        <v/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5" t="s">
        <v>691</v>
      </c>
      <c r="F113" s="195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60" t="s">
        <v>420</v>
      </c>
      <c r="M113" t="str">
        <f t="shared" si="6"/>
        <v/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5" t="s">
        <v>692</v>
      </c>
      <c r="F114" s="195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60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5" t="s">
        <v>693</v>
      </c>
      <c r="F115" s="19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60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5" t="s">
        <v>694</v>
      </c>
      <c r="F116" s="195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60" t="s">
        <v>420</v>
      </c>
      <c r="M116" t="str">
        <f t="shared" si="6"/>
        <v/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5" t="s">
        <v>695</v>
      </c>
      <c r="F117" s="195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60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5" t="s">
        <v>696</v>
      </c>
      <c r="F118" s="195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60" t="s">
        <v>420</v>
      </c>
      <c r="M118" t="str">
        <f t="shared" si="6"/>
        <v/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5" t="s">
        <v>697</v>
      </c>
      <c r="F119" s="195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60" t="s">
        <v>420</v>
      </c>
      <c r="M119" t="str">
        <f t="shared" si="6"/>
        <v/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5" t="s">
        <v>698</v>
      </c>
      <c r="F120" s="195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60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5" t="s">
        <v>699</v>
      </c>
      <c r="F121" s="195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60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5" t="s">
        <v>700</v>
      </c>
      <c r="F122" s="195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60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5" t="s">
        <v>701</v>
      </c>
      <c r="F123" s="195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60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5" t="s">
        <v>702</v>
      </c>
      <c r="F124" s="195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60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5" t="s">
        <v>703</v>
      </c>
      <c r="F125" s="19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60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5" t="s">
        <v>704</v>
      </c>
      <c r="F126" s="195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60" t="s">
        <v>420</v>
      </c>
      <c r="M126" t="str">
        <f t="shared" si="6"/>
        <v/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5" t="s">
        <v>705</v>
      </c>
      <c r="F127" s="195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60" t="s">
        <v>420</v>
      </c>
      <c r="M127" t="str">
        <f t="shared" si="6"/>
        <v/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5" t="s">
        <v>706</v>
      </c>
      <c r="F128" s="195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60" t="s">
        <v>420</v>
      </c>
      <c r="M128" t="str">
        <f t="shared" si="6"/>
        <v/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5" t="s">
        <v>707</v>
      </c>
      <c r="F129" s="195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60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5" t="s">
        <v>708</v>
      </c>
      <c r="F130" s="195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60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5" t="s">
        <v>709</v>
      </c>
      <c r="F131" s="195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60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5" t="s">
        <v>710</v>
      </c>
      <c r="F132" s="195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60" t="s">
        <v>420</v>
      </c>
      <c r="M132" t="str">
        <f t="shared" si="12"/>
        <v/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5" t="s">
        <v>711</v>
      </c>
      <c r="F133" s="195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60" t="s">
        <v>420</v>
      </c>
      <c r="M133" t="str">
        <f t="shared" si="12"/>
        <v/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5" t="s">
        <v>712</v>
      </c>
      <c r="F134" s="195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60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5" t="s">
        <v>713</v>
      </c>
      <c r="F135" s="195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60" t="s">
        <v>420</v>
      </c>
      <c r="M135" t="str">
        <f t="shared" si="12"/>
        <v/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5" t="s">
        <v>714</v>
      </c>
      <c r="F136" s="195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60" t="s">
        <v>420</v>
      </c>
      <c r="M136" t="str">
        <f t="shared" si="12"/>
        <v/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5" t="s">
        <v>715</v>
      </c>
      <c r="F137" s="195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60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5" t="s">
        <v>716</v>
      </c>
      <c r="F138" s="195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60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5" t="s">
        <v>717</v>
      </c>
      <c r="F139" s="195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60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5" t="s">
        <v>718</v>
      </c>
      <c r="F140" s="195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60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5" t="s">
        <v>719</v>
      </c>
      <c r="F141" s="195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60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5" t="s">
        <v>720</v>
      </c>
      <c r="F142" s="195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60" t="s">
        <v>420</v>
      </c>
      <c r="M142" t="str">
        <f t="shared" si="12"/>
        <v/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5" t="s">
        <v>721</v>
      </c>
      <c r="F143" s="195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60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5" t="s">
        <v>722</v>
      </c>
      <c r="F144" s="195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60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5" t="s">
        <v>723</v>
      </c>
      <c r="F145" s="195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60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5" t="s">
        <v>724</v>
      </c>
      <c r="F146" s="195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60" t="s">
        <v>420</v>
      </c>
      <c r="M146" t="str">
        <f t="shared" si="12"/>
        <v/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5" t="s">
        <v>725</v>
      </c>
      <c r="F147" s="195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60" t="s">
        <v>420</v>
      </c>
      <c r="M147" t="str">
        <f t="shared" si="12"/>
        <v/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5" t="s">
        <v>726</v>
      </c>
      <c r="F148" s="195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60" t="s">
        <v>420</v>
      </c>
      <c r="M148" t="str">
        <f t="shared" si="12"/>
        <v/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5" t="s">
        <v>727</v>
      </c>
      <c r="F149" s="195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60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5" t="s">
        <v>728</v>
      </c>
      <c r="F150" s="195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60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5" t="s">
        <v>729</v>
      </c>
      <c r="F151" s="195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60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5" t="s">
        <v>730</v>
      </c>
      <c r="F152" s="195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60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5" t="s">
        <v>731</v>
      </c>
      <c r="F153" s="195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60" t="s">
        <v>420</v>
      </c>
      <c r="M153" t="str">
        <f t="shared" si="12"/>
        <v/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5" t="s">
        <v>732</v>
      </c>
      <c r="F154" s="195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60" t="s">
        <v>420</v>
      </c>
      <c r="M154" t="str">
        <f t="shared" si="12"/>
        <v/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5" t="s">
        <v>733</v>
      </c>
      <c r="F155" s="195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60" t="s">
        <v>420</v>
      </c>
      <c r="M155" t="str">
        <f t="shared" si="12"/>
        <v/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5" t="s">
        <v>734</v>
      </c>
      <c r="F156" s="195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60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5" t="s">
        <v>735</v>
      </c>
      <c r="F157" s="195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60" t="s">
        <v>420</v>
      </c>
      <c r="M157" t="str">
        <f t="shared" si="12"/>
        <v/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5" t="s">
        <v>736</v>
      </c>
      <c r="F158" s="195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60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5" t="s">
        <v>737</v>
      </c>
      <c r="F159" s="195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60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5" t="s">
        <v>738</v>
      </c>
      <c r="F160" s="195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60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5" t="s">
        <v>739</v>
      </c>
      <c r="F161" s="195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60" t="s">
        <v>420</v>
      </c>
      <c r="M161" t="str">
        <f t="shared" si="12"/>
        <v/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5" t="s">
        <v>740</v>
      </c>
      <c r="F162" s="195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60" t="s">
        <v>420</v>
      </c>
      <c r="M162" t="str">
        <f t="shared" si="12"/>
        <v/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5" t="s">
        <v>741</v>
      </c>
      <c r="F163" s="195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60" t="s">
        <v>420</v>
      </c>
      <c r="M163" t="str">
        <f t="shared" si="12"/>
        <v/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5" t="s">
        <v>742</v>
      </c>
      <c r="F164" s="195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60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5" t="s">
        <v>743</v>
      </c>
      <c r="F165" s="195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60" t="s">
        <v>420</v>
      </c>
      <c r="M165" t="str">
        <f t="shared" si="12"/>
        <v/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5" t="s">
        <v>744</v>
      </c>
      <c r="F166" s="195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60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5" t="s">
        <v>745</v>
      </c>
      <c r="F167" s="195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60" t="s">
        <v>420</v>
      </c>
      <c r="M167" t="str">
        <f t="shared" si="12"/>
        <v/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5" t="s">
        <v>746</v>
      </c>
      <c r="F168" s="195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60" t="s">
        <v>420</v>
      </c>
      <c r="M168" t="str">
        <f t="shared" si="12"/>
        <v/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5" t="s">
        <v>747</v>
      </c>
      <c r="F169" s="195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60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5" t="s">
        <v>748</v>
      </c>
      <c r="F170" s="195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60" t="s">
        <v>420</v>
      </c>
      <c r="M170" t="str">
        <f t="shared" si="12"/>
        <v/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5" t="s">
        <v>749</v>
      </c>
      <c r="F171" s="195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60" t="s">
        <v>420</v>
      </c>
      <c r="M171" t="str">
        <f t="shared" si="12"/>
        <v/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5" t="s">
        <v>750</v>
      </c>
      <c r="F172" s="195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60" t="s">
        <v>420</v>
      </c>
      <c r="M172" t="str">
        <f t="shared" si="12"/>
        <v/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5" t="s">
        <v>751</v>
      </c>
      <c r="F173" s="195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60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5" t="s">
        <v>752</v>
      </c>
      <c r="F174" s="195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60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5" t="s">
        <v>753</v>
      </c>
      <c r="F175" s="195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60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5" t="s">
        <v>754</v>
      </c>
      <c r="F176" s="195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60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5" t="s">
        <v>755</v>
      </c>
      <c r="F177" s="195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60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5" t="s">
        <v>756</v>
      </c>
      <c r="F178" s="195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60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5" t="s">
        <v>757</v>
      </c>
      <c r="F179" s="195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60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5" t="s">
        <v>758</v>
      </c>
      <c r="F180" s="195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60" t="s">
        <v>420</v>
      </c>
      <c r="M180" t="str">
        <f t="shared" si="12"/>
        <v/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5" t="s">
        <v>759</v>
      </c>
      <c r="F181" s="195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60" t="s">
        <v>420</v>
      </c>
      <c r="M181" t="str">
        <f t="shared" si="12"/>
        <v/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5" t="s">
        <v>760</v>
      </c>
      <c r="F182" s="195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60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5" t="s">
        <v>761</v>
      </c>
      <c r="F183" s="195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60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5" t="s">
        <v>762</v>
      </c>
      <c r="F184" s="195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60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5" t="s">
        <v>763</v>
      </c>
      <c r="F185" s="195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60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5" t="s">
        <v>764</v>
      </c>
      <c r="F186" s="195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60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5" t="s">
        <v>765</v>
      </c>
      <c r="F187" s="195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60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5" t="s">
        <v>766</v>
      </c>
      <c r="F188" s="195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60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5" t="s">
        <v>767</v>
      </c>
      <c r="F189" s="195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60" t="s">
        <v>420</v>
      </c>
      <c r="M189" t="str">
        <f t="shared" si="12"/>
        <v/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5" t="s">
        <v>768</v>
      </c>
      <c r="F190" s="195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60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5" t="s">
        <v>769</v>
      </c>
      <c r="F191" s="195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60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5" t="s">
        <v>770</v>
      </c>
      <c r="F192" s="195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60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5" t="s">
        <v>771</v>
      </c>
      <c r="F193" s="195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60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5" t="s">
        <v>772</v>
      </c>
      <c r="F194" s="195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60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5" t="s">
        <v>773</v>
      </c>
      <c r="F195" s="195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60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5" t="s">
        <v>774</v>
      </c>
      <c r="F196" s="195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60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5" t="s">
        <v>775</v>
      </c>
      <c r="F197" s="195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60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5" t="s">
        <v>776</v>
      </c>
      <c r="F198" s="195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60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5" t="s">
        <v>777</v>
      </c>
      <c r="F199" s="195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60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5" t="s">
        <v>778</v>
      </c>
      <c r="F200" s="195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60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5" t="s">
        <v>779</v>
      </c>
      <c r="F201" s="195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60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5" t="s">
        <v>780</v>
      </c>
      <c r="F202" s="195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60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5" t="s">
        <v>781</v>
      </c>
      <c r="F203" s="195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60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5" t="s">
        <v>782</v>
      </c>
      <c r="F204" s="195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60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5" t="s">
        <v>783</v>
      </c>
      <c r="F205" s="195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60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5" t="s">
        <v>784</v>
      </c>
      <c r="F206" s="195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60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5" t="s">
        <v>785</v>
      </c>
      <c r="F207" s="195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60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5" t="s">
        <v>786</v>
      </c>
      <c r="F208" s="195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60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5" t="s">
        <v>787</v>
      </c>
      <c r="F209" s="195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60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5" t="s">
        <v>788</v>
      </c>
      <c r="F210" s="195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60" t="s">
        <v>420</v>
      </c>
      <c r="M210" t="str">
        <f t="shared" si="18"/>
        <v/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5" t="s">
        <v>789</v>
      </c>
      <c r="F211" s="195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60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5" t="s">
        <v>790</v>
      </c>
      <c r="F212" s="195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60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5" t="s">
        <v>791</v>
      </c>
      <c r="F213" s="195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60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5" t="s">
        <v>792</v>
      </c>
      <c r="F214" s="195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60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5" t="s">
        <v>793</v>
      </c>
      <c r="F215" s="195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60" t="s">
        <v>420</v>
      </c>
      <c r="M215" t="str">
        <f t="shared" si="18"/>
        <v/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5" t="s">
        <v>794</v>
      </c>
      <c r="F216" s="195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60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5" t="s">
        <v>795</v>
      </c>
      <c r="F217" s="195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60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5" t="s">
        <v>796</v>
      </c>
      <c r="F218" s="195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60" t="s">
        <v>420</v>
      </c>
      <c r="M218" t="str">
        <f t="shared" si="18"/>
        <v/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5" t="s">
        <v>797</v>
      </c>
      <c r="F219" s="195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60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5" t="s">
        <v>798</v>
      </c>
      <c r="F220" s="195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60" t="s">
        <v>420</v>
      </c>
      <c r="M220" t="str">
        <f t="shared" si="18"/>
        <v/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5" t="s">
        <v>799</v>
      </c>
      <c r="F221" s="195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60" t="s">
        <v>420</v>
      </c>
      <c r="M221" t="str">
        <f t="shared" si="18"/>
        <v/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5" t="s">
        <v>800</v>
      </c>
      <c r="F222" s="195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60" t="s">
        <v>420</v>
      </c>
      <c r="M222" t="str">
        <f t="shared" si="18"/>
        <v/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5" t="s">
        <v>801</v>
      </c>
      <c r="F223" s="195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60" t="s">
        <v>420</v>
      </c>
      <c r="M223" t="str">
        <f t="shared" si="18"/>
        <v/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5" t="s">
        <v>802</v>
      </c>
      <c r="F224" s="195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60" t="s">
        <v>420</v>
      </c>
      <c r="M224" t="str">
        <f t="shared" si="18"/>
        <v/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5" t="s">
        <v>803</v>
      </c>
      <c r="F225" s="195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60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5" t="s">
        <v>804</v>
      </c>
      <c r="F226" s="195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60" t="s">
        <v>420</v>
      </c>
      <c r="M226" t="str">
        <f t="shared" si="18"/>
        <v/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5" t="s">
        <v>805</v>
      </c>
      <c r="F227" s="195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60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5" t="s">
        <v>806</v>
      </c>
      <c r="F228" s="195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60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5" t="s">
        <v>807</v>
      </c>
      <c r="F229" s="195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60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5" t="s">
        <v>808</v>
      </c>
      <c r="F230" s="195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60" t="s">
        <v>420</v>
      </c>
      <c r="M230" t="str">
        <f t="shared" si="18"/>
        <v/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5" t="s">
        <v>809</v>
      </c>
      <c r="F231" s="195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60" t="s">
        <v>420</v>
      </c>
      <c r="M231" t="str">
        <f t="shared" si="18"/>
        <v/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5" t="s">
        <v>810</v>
      </c>
      <c r="F232" s="195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60" t="s">
        <v>420</v>
      </c>
      <c r="M232" t="str">
        <f t="shared" si="18"/>
        <v/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5" t="s">
        <v>811</v>
      </c>
      <c r="F233" s="195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60" t="s">
        <v>420</v>
      </c>
      <c r="M233" t="str">
        <f t="shared" si="18"/>
        <v/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5" t="s">
        <v>812</v>
      </c>
      <c r="F234" s="195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60" t="s">
        <v>420</v>
      </c>
      <c r="M234" t="str">
        <f t="shared" si="18"/>
        <v/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5" t="s">
        <v>813</v>
      </c>
      <c r="F235" s="195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60" t="s">
        <v>420</v>
      </c>
      <c r="M235" t="str">
        <f t="shared" si="18"/>
        <v/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5" t="s">
        <v>814</v>
      </c>
      <c r="F236" s="195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60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5" t="s">
        <v>815</v>
      </c>
      <c r="F237" s="195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60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5" t="s">
        <v>816</v>
      </c>
      <c r="F238" s="195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60" t="s">
        <v>420</v>
      </c>
      <c r="M238" t="str">
        <f t="shared" si="18"/>
        <v/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5" t="s">
        <v>817</v>
      </c>
      <c r="F239" s="195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60" t="s">
        <v>420</v>
      </c>
      <c r="M239" t="str">
        <f t="shared" si="18"/>
        <v/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5" t="s">
        <v>818</v>
      </c>
      <c r="F240" s="195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60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5" t="s">
        <v>819</v>
      </c>
      <c r="F241" s="195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60" t="s">
        <v>420</v>
      </c>
      <c r="M241" t="str">
        <f t="shared" si="18"/>
        <v/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5" t="s">
        <v>820</v>
      </c>
      <c r="F242" s="195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60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5" t="s">
        <v>821</v>
      </c>
      <c r="F243" s="195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60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5" t="s">
        <v>822</v>
      </c>
      <c r="F244" s="195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60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5" t="s">
        <v>823</v>
      </c>
      <c r="F245" s="195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60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5" t="s">
        <v>824</v>
      </c>
      <c r="F246" s="195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60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5" t="s">
        <v>825</v>
      </c>
      <c r="F247" s="195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60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5" t="s">
        <v>826</v>
      </c>
      <c r="F248" s="195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60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5" t="s">
        <v>827</v>
      </c>
      <c r="F249" s="195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60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5" t="s">
        <v>828</v>
      </c>
      <c r="F250" s="195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60" t="s">
        <v>419</v>
      </c>
      <c r="M250" t="str">
        <f t="shared" si="18"/>
        <v xml:space="preserve">ΝΟΤΙΟΥ ΑΙΓΑΙΟΥ - ΚΑΛΥΜΝΙΩΝ, </v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5" t="s">
        <v>829</v>
      </c>
      <c r="F251" s="195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60" t="s">
        <v>419</v>
      </c>
      <c r="M251" t="str">
        <f t="shared" si="18"/>
        <v xml:space="preserve">ΝΟΤΙΟΥ ΑΙΓΑΙΟΥ - ΚΑΡΠΑΘΟΥ, </v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5" t="s">
        <v>830</v>
      </c>
      <c r="F252" s="195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60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5" t="s">
        <v>831</v>
      </c>
      <c r="F253" s="195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60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5" t="s">
        <v>832</v>
      </c>
      <c r="F254" s="195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60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5" t="s">
        <v>833</v>
      </c>
      <c r="F255" s="195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60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5" t="s">
        <v>834</v>
      </c>
      <c r="F256" s="195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60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5" t="s">
        <v>835</v>
      </c>
      <c r="F257" s="195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60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5" t="s">
        <v>836</v>
      </c>
      <c r="F258" s="195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60" t="s">
        <v>419</v>
      </c>
      <c r="M258" t="str">
        <f t="shared" ref="M258:M321" si="24">IF(K258&lt;&gt;"",IF(L258="ΝΑΙ",J258&amp;" - "&amp;K258&amp;", ",""),"")</f>
        <v xml:space="preserve">ΝΟΤΙΟΥ ΑΙΓΑΙΟΥ - ΛΕΡΟΥ, </v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5" t="s">
        <v>837</v>
      </c>
      <c r="F259" s="195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60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5" t="s">
        <v>838</v>
      </c>
      <c r="F260" s="195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60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5" t="s">
        <v>839</v>
      </c>
      <c r="F261" s="195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60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5" t="s">
        <v>840</v>
      </c>
      <c r="F262" s="195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60" t="s">
        <v>420</v>
      </c>
      <c r="M262" t="str">
        <f t="shared" si="24"/>
        <v/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5" t="s">
        <v>841</v>
      </c>
      <c r="F263" s="195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60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5" t="s">
        <v>842</v>
      </c>
      <c r="F264" s="195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60" t="s">
        <v>420</v>
      </c>
      <c r="M264" t="str">
        <f t="shared" si="24"/>
        <v/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5" t="s">
        <v>843</v>
      </c>
      <c r="F265" s="195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60" t="s">
        <v>419</v>
      </c>
      <c r="M265" t="str">
        <f t="shared" si="24"/>
        <v xml:space="preserve">ΝΟΤΙΟΥ ΑΙΓΑΙΟΥ - ΠΑΤΜΟΥ, </v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5" t="s">
        <v>844</v>
      </c>
      <c r="F266" s="195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60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5" t="s">
        <v>845</v>
      </c>
      <c r="F267" s="195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60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5" t="s">
        <v>846</v>
      </c>
      <c r="F268" s="195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60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5" t="s">
        <v>847</v>
      </c>
      <c r="F269" s="195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60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5" t="s">
        <v>848</v>
      </c>
      <c r="F270" s="195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60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5" t="s">
        <v>849</v>
      </c>
      <c r="F271" s="195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60" t="s">
        <v>420</v>
      </c>
      <c r="M271" t="str">
        <f t="shared" si="24"/>
        <v/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5" t="s">
        <v>850</v>
      </c>
      <c r="F272" s="195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60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5" t="s">
        <v>851</v>
      </c>
      <c r="F273" s="195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60" t="s">
        <v>420</v>
      </c>
      <c r="M273" t="str">
        <f t="shared" si="24"/>
        <v/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5" t="s">
        <v>852</v>
      </c>
      <c r="F274" s="195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60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5" t="s">
        <v>853</v>
      </c>
      <c r="F275" s="195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60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5" t="s">
        <v>854</v>
      </c>
      <c r="F276" s="195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60" t="s">
        <v>420</v>
      </c>
      <c r="M276" t="str">
        <f t="shared" si="24"/>
        <v/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5" t="s">
        <v>855</v>
      </c>
      <c r="F277" s="195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60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5" t="s">
        <v>856</v>
      </c>
      <c r="F278" s="195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60" t="s">
        <v>420</v>
      </c>
      <c r="M278" t="str">
        <f t="shared" si="24"/>
        <v/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5" t="s">
        <v>857</v>
      </c>
      <c r="F279" s="195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60" t="s">
        <v>420</v>
      </c>
      <c r="M279" t="str">
        <f t="shared" si="24"/>
        <v/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5" t="s">
        <v>858</v>
      </c>
      <c r="F280" s="195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60" t="s">
        <v>420</v>
      </c>
      <c r="M280" t="str">
        <f t="shared" si="24"/>
        <v/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5" t="s">
        <v>859</v>
      </c>
      <c r="F281" s="195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60" t="s">
        <v>420</v>
      </c>
      <c r="M281" t="str">
        <f t="shared" si="24"/>
        <v/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5" t="s">
        <v>860</v>
      </c>
      <c r="F282" s="195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60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5" t="s">
        <v>861</v>
      </c>
      <c r="F283" s="195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60" t="s">
        <v>420</v>
      </c>
      <c r="M283" t="str">
        <f t="shared" si="24"/>
        <v/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5" t="s">
        <v>862</v>
      </c>
      <c r="F284" s="195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60" t="s">
        <v>420</v>
      </c>
      <c r="M284" t="str">
        <f t="shared" si="24"/>
        <v/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5" t="s">
        <v>863</v>
      </c>
      <c r="F285" s="195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60" t="s">
        <v>420</v>
      </c>
      <c r="M285" t="str">
        <f t="shared" si="24"/>
        <v/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5" t="s">
        <v>864</v>
      </c>
      <c r="F286" s="195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60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5" t="s">
        <v>865</v>
      </c>
      <c r="F287" s="195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60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5" t="s">
        <v>866</v>
      </c>
      <c r="F288" s="195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60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5" t="s">
        <v>867</v>
      </c>
      <c r="F289" s="195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60" t="s">
        <v>420</v>
      </c>
      <c r="M289" t="str">
        <f t="shared" si="24"/>
        <v/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5" t="s">
        <v>868</v>
      </c>
      <c r="F290" s="195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60" t="s">
        <v>420</v>
      </c>
      <c r="M290" t="str">
        <f t="shared" si="24"/>
        <v/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5" t="s">
        <v>869</v>
      </c>
      <c r="F291" s="195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60" t="s">
        <v>420</v>
      </c>
      <c r="M291" t="str">
        <f t="shared" si="24"/>
        <v/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5" t="s">
        <v>870</v>
      </c>
      <c r="F292" s="195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60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5" t="s">
        <v>871</v>
      </c>
      <c r="F293" s="195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60" t="s">
        <v>420</v>
      </c>
      <c r="M293" t="str">
        <f t="shared" si="24"/>
        <v/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5" t="s">
        <v>872</v>
      </c>
      <c r="F294" s="195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60" t="s">
        <v>420</v>
      </c>
      <c r="M294" t="str">
        <f t="shared" si="24"/>
        <v/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5" t="s">
        <v>873</v>
      </c>
      <c r="F295" s="195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60" t="s">
        <v>420</v>
      </c>
      <c r="M295" t="str">
        <f t="shared" si="24"/>
        <v/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5" t="s">
        <v>874</v>
      </c>
      <c r="F296" s="195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60" t="s">
        <v>420</v>
      </c>
      <c r="M296" t="str">
        <f t="shared" si="24"/>
        <v/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5" t="s">
        <v>875</v>
      </c>
      <c r="F297" s="195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60" t="s">
        <v>420</v>
      </c>
      <c r="M297" t="str">
        <f t="shared" si="24"/>
        <v/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5" t="s">
        <v>876</v>
      </c>
      <c r="F298" s="195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60" t="s">
        <v>420</v>
      </c>
      <c r="M298" t="str">
        <f t="shared" si="24"/>
        <v/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5" t="s">
        <v>877</v>
      </c>
      <c r="F299" s="195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60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5" t="s">
        <v>878</v>
      </c>
      <c r="F300" s="195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60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5" t="s">
        <v>879</v>
      </c>
      <c r="F301" s="195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60" t="s">
        <v>420</v>
      </c>
      <c r="M301" t="str">
        <f t="shared" si="24"/>
        <v/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5" t="s">
        <v>880</v>
      </c>
      <c r="F302" s="195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60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5" t="s">
        <v>881</v>
      </c>
      <c r="F303" s="195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60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5" t="s">
        <v>882</v>
      </c>
      <c r="F304" s="195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60" t="s">
        <v>420</v>
      </c>
      <c r="M304" t="str">
        <f t="shared" si="24"/>
        <v/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5" t="s">
        <v>883</v>
      </c>
      <c r="F305" s="195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60" t="s">
        <v>420</v>
      </c>
      <c r="M305" t="str">
        <f t="shared" si="24"/>
        <v/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5" t="s">
        <v>884</v>
      </c>
      <c r="F306" s="195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60" t="s">
        <v>420</v>
      </c>
      <c r="M306" t="str">
        <f t="shared" si="24"/>
        <v/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5" t="s">
        <v>885</v>
      </c>
      <c r="F307" s="195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60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5" t="s">
        <v>886</v>
      </c>
      <c r="F308" s="195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60" t="s">
        <v>420</v>
      </c>
      <c r="M308" t="str">
        <f t="shared" si="24"/>
        <v/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5" t="s">
        <v>887</v>
      </c>
      <c r="F309" s="195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60" t="s">
        <v>420</v>
      </c>
      <c r="M309" t="str">
        <f t="shared" si="24"/>
        <v/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5" t="s">
        <v>888</v>
      </c>
      <c r="F310" s="195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60" t="s">
        <v>420</v>
      </c>
      <c r="M310" t="str">
        <f t="shared" si="24"/>
        <v/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5" t="s">
        <v>889</v>
      </c>
      <c r="F311" s="195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60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5" t="s">
        <v>890</v>
      </c>
      <c r="F312" s="195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60" t="s">
        <v>420</v>
      </c>
      <c r="M312" t="str">
        <f t="shared" si="24"/>
        <v/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5" t="s">
        <v>891</v>
      </c>
      <c r="F313" s="195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60" t="s">
        <v>420</v>
      </c>
      <c r="M313" t="str">
        <f t="shared" si="24"/>
        <v/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5" t="s">
        <v>892</v>
      </c>
      <c r="F314" s="195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60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5" t="s">
        <v>893</v>
      </c>
      <c r="F315" s="195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60" t="s">
        <v>420</v>
      </c>
      <c r="M315" t="str">
        <f t="shared" si="24"/>
        <v/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5" t="s">
        <v>894</v>
      </c>
      <c r="F316" s="195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60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5" t="s">
        <v>895</v>
      </c>
      <c r="F317" s="195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60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5" t="s">
        <v>896</v>
      </c>
      <c r="F318" s="195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60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5" t="s">
        <v>897</v>
      </c>
      <c r="F319" s="195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60" t="s">
        <v>420</v>
      </c>
      <c r="M319" t="str">
        <f t="shared" si="24"/>
        <v/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5" t="s">
        <v>898</v>
      </c>
      <c r="F320" s="195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60" t="s">
        <v>420</v>
      </c>
      <c r="M320" t="str">
        <f t="shared" si="24"/>
        <v/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5" t="s">
        <v>899</v>
      </c>
      <c r="F321" s="195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60" t="s">
        <v>420</v>
      </c>
      <c r="M321" t="str">
        <f t="shared" si="24"/>
        <v/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5" t="s">
        <v>900</v>
      </c>
      <c r="F322" s="195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60" t="s">
        <v>420</v>
      </c>
      <c r="M322" t="str">
        <f>IF(K322&lt;&gt;"",IF(L322="ΝΑΙ",J322&amp;" - "&amp;K322&amp;", ",""),"")</f>
        <v/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5" t="s">
        <v>901</v>
      </c>
      <c r="F323" s="195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IF(ISNUMBER(I323),LOOKUP(I323,A:A,B:B),"")</f>
        <v>ΣΤΕΡΕΑΣ ΕΛΛΑΔΑΣ</v>
      </c>
      <c r="K323" t="str">
        <f>IF(ISNUMBER(I323),LOOKUP(I323,A:A,D:D),"")</f>
        <v>ΣΚΥΡΟΥ</v>
      </c>
      <c r="L323" s="160" t="s">
        <v>420</v>
      </c>
      <c r="M323" t="str">
        <f>IF(K323&lt;&gt;"",IF(L323="ΝΑΙ",J323&amp;" - "&amp;K323&amp;", ",""),"")</f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5" t="s">
        <v>902</v>
      </c>
      <c r="F324" s="195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IF(ISNUMBER(I324),LOOKUP(I324,A:A,B:B),"")</f>
        <v>ΣΤΕΡΕΑΣ ΕΛΛΑΔΑΣ</v>
      </c>
      <c r="K324" t="str">
        <f>IF(ISNUMBER(I324),LOOKUP(I324,A:A,D:D),"")</f>
        <v>ΣΤΥΛΙΔΟΣ</v>
      </c>
      <c r="L324" s="160" t="s">
        <v>420</v>
      </c>
      <c r="M324" t="str">
        <f>IF(K324&lt;&gt;"",IF(L324="ΝΑΙ",J324&amp;" - "&amp;K324&amp;", ",""),"")</f>
        <v/>
      </c>
      <c r="N324" t="str">
        <f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5" t="s">
        <v>903</v>
      </c>
      <c r="F325" s="19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IF(ISNUMBER(I325),LOOKUP(I325,A:A,B:B),"")</f>
        <v>ΣΤΕΡΕΑΣ ΕΛΛΑΔΑΣ</v>
      </c>
      <c r="K325" t="str">
        <f>IF(ISNUMBER(I325),LOOKUP(I325,A:A,D:D),"")</f>
        <v>ΤΑΝΑΓΡΑΣ</v>
      </c>
      <c r="L325" s="160" t="s">
        <v>420</v>
      </c>
      <c r="M325" t="str">
        <f>IF(K325&lt;&gt;"",IF(L325="ΝΑΙ",J325&amp;" - "&amp;K325&amp;", ",""),"")</f>
        <v/>
      </c>
      <c r="N325" t="str">
        <f>N324&amp;M325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5" t="s">
        <v>904</v>
      </c>
      <c r="F326" s="195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IF(ISNUMBER(I326),LOOKUP(I326,A:A,B:B),"")</f>
        <v>ΣΤΕΡΕΑΣ ΕΛΛΑΔΑΣ</v>
      </c>
      <c r="K326" t="str">
        <f>IF(ISNUMBER(I326),LOOKUP(I326,A:A,D:D),"")</f>
        <v>ΧΑΛΚΙΔΕΩΝ</v>
      </c>
      <c r="L326" s="160" t="s">
        <v>419</v>
      </c>
      <c r="M326" t="str">
        <f>IF(K326&lt;&gt;"",IF(L326="ΝΑΙ",J326&amp;" - "&amp;K326&amp;", ",""),"")</f>
        <v xml:space="preserve">ΣΤΕΡΕΑΣ ΕΛΛΑΔΑΣ - ΧΑΛΚΙΔΕΩΝ, </v>
      </c>
      <c r="N326" t="str">
        <f>N325&amp;M326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7" customWidth="1"/>
    <col min="2" max="4" width="37.140625" customWidth="1"/>
    <col min="5" max="5" width="65.42578125" customWidth="1"/>
    <col min="6" max="6" width="30" style="195" customWidth="1"/>
    <col min="7" max="7" width="6" style="195" bestFit="1" customWidth="1"/>
    <col min="8" max="8" width="16.140625" customWidth="1"/>
    <col min="9" max="9" width="24" customWidth="1"/>
    <col min="10" max="10" width="26.7109375" customWidth="1"/>
    <col min="11" max="11" width="9.140625" style="197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8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6"/>
      <c r="L1" s="26" t="s">
        <v>415</v>
      </c>
      <c r="M1" s="26" t="s">
        <v>498</v>
      </c>
      <c r="N1" s="26"/>
      <c r="O1" s="26"/>
    </row>
    <row r="2" spans="1:15" x14ac:dyDescent="0.25">
      <c r="A2" s="197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5" t="s">
        <v>581</v>
      </c>
      <c r="G2" s="195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197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5">
        <f t="shared" ref="N2:N66" si="4">IF(ISNUMBER(K2),LOOKUP(K2,A:A,G:G),"")</f>
        <v>13920</v>
      </c>
      <c r="O2" s="195" t="str">
        <f>IF(ISNUMBER(K2),LOOKUP(K2,A:A,F:F),"")</f>
        <v>Αβδήρων</v>
      </c>
    </row>
    <row r="3" spans="1:15" x14ac:dyDescent="0.25">
      <c r="A3" s="197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5" t="s">
        <v>582</v>
      </c>
      <c r="G3" s="195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197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5">
        <f t="shared" si="4"/>
        <v>13906</v>
      </c>
      <c r="O3" s="195" t="str">
        <f t="shared" ref="O3:O66" si="6">IF(ISNUMBER(K3),LOOKUP(K3,A:A,F:F),"")</f>
        <v>Αλεξανδρούπολης</v>
      </c>
    </row>
    <row r="4" spans="1:15" x14ac:dyDescent="0.25">
      <c r="A4" s="197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5" t="s">
        <v>583</v>
      </c>
      <c r="G4" s="195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197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5">
        <f t="shared" si="4"/>
        <v>13910</v>
      </c>
      <c r="O4" s="195" t="str">
        <f t="shared" si="6"/>
        <v>Αρριανών</v>
      </c>
    </row>
    <row r="5" spans="1:15" x14ac:dyDescent="0.25">
      <c r="A5" s="197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5" t="s">
        <v>584</v>
      </c>
      <c r="G5" s="195">
        <v>14058</v>
      </c>
      <c r="H5" t="str">
        <f>_xlfn.IFNA(INDEX(DimosNaiOxi,MATCH(ΤΚ!E5,DimosNai,0)),"")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197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5">
        <f t="shared" si="4"/>
        <v>14058</v>
      </c>
      <c r="O5" s="195" t="str">
        <f t="shared" si="6"/>
        <v>Διδυμοτείχου</v>
      </c>
    </row>
    <row r="6" spans="1:15" x14ac:dyDescent="0.25">
      <c r="A6" s="197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5" t="s">
        <v>585</v>
      </c>
      <c r="G6" s="195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197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5">
        <f t="shared" si="4"/>
        <v>14068</v>
      </c>
      <c r="O6" s="195" t="str">
        <f t="shared" si="6"/>
        <v>Δοξάτου</v>
      </c>
    </row>
    <row r="7" spans="1:15" x14ac:dyDescent="0.25">
      <c r="A7" s="197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5" t="s">
        <v>586</v>
      </c>
      <c r="G7" s="195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197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5">
        <f t="shared" si="4"/>
        <v>14070</v>
      </c>
      <c r="O7" s="195" t="str">
        <f t="shared" si="6"/>
        <v>Δράμας</v>
      </c>
    </row>
    <row r="8" spans="1:15" x14ac:dyDescent="0.25">
      <c r="A8" s="197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5" t="s">
        <v>587</v>
      </c>
      <c r="G8" s="195">
        <v>14124</v>
      </c>
      <c r="H8" t="str">
        <f>_xlfn.IFNA(INDEX(DimosNaiOxi,MATCH(ΤΚ!E8,DimosNai,0)),"")</f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 s="197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5">
        <f t="shared" si="4"/>
        <v>14124</v>
      </c>
      <c r="O8" s="195" t="str">
        <f t="shared" si="6"/>
        <v>Θάσου</v>
      </c>
    </row>
    <row r="9" spans="1:15" x14ac:dyDescent="0.25">
      <c r="A9" s="197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5" t="s">
        <v>588</v>
      </c>
      <c r="G9" s="195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197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5">
        <f t="shared" si="4"/>
        <v>14140</v>
      </c>
      <c r="O9" s="195" t="str">
        <f t="shared" si="6"/>
        <v>Ιάσμου</v>
      </c>
    </row>
    <row r="10" spans="1:15" x14ac:dyDescent="0.25">
      <c r="A10" s="197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5" t="s">
        <v>589</v>
      </c>
      <c r="G10" s="195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197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5">
        <f t="shared" si="4"/>
        <v>14156</v>
      </c>
      <c r="O10" s="195" t="str">
        <f t="shared" si="6"/>
        <v>Καβάλας</v>
      </c>
    </row>
    <row r="11" spans="1:15" x14ac:dyDescent="0.25">
      <c r="A11" s="197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5" t="s">
        <v>590</v>
      </c>
      <c r="G11" s="195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197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5">
        <f t="shared" si="4"/>
        <v>14202</v>
      </c>
      <c r="O11" s="195" t="str">
        <f t="shared" si="6"/>
        <v>Κάτω Νευροκοπίου</v>
      </c>
    </row>
    <row r="12" spans="1:15" x14ac:dyDescent="0.25">
      <c r="A12" s="197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5" t="s">
        <v>591</v>
      </c>
      <c r="G12" s="195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197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5">
        <f t="shared" si="4"/>
        <v>14220</v>
      </c>
      <c r="O12" s="195" t="str">
        <f t="shared" si="6"/>
        <v>Κομοτηνής</v>
      </c>
    </row>
    <row r="13" spans="1:15" x14ac:dyDescent="0.25">
      <c r="A13" s="197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5" t="s">
        <v>592</v>
      </c>
      <c r="G13" s="195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197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5">
        <f t="shared" si="4"/>
        <v>14280</v>
      </c>
      <c r="O13" s="195" t="str">
        <f t="shared" si="6"/>
        <v>Μαρωνείας - Σαπών</v>
      </c>
    </row>
    <row r="14" spans="1:15" x14ac:dyDescent="0.25">
      <c r="A14" s="197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5" t="s">
        <v>593</v>
      </c>
      <c r="G14" s="195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197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5">
        <f t="shared" si="4"/>
        <v>14304</v>
      </c>
      <c r="O14" s="195" t="str">
        <f t="shared" si="6"/>
        <v>Μύκης</v>
      </c>
    </row>
    <row r="15" spans="1:15" x14ac:dyDescent="0.25">
      <c r="A15" s="197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5" t="s">
        <v>594</v>
      </c>
      <c r="G15" s="195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197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5">
        <f t="shared" si="4"/>
        <v>14336</v>
      </c>
      <c r="O15" s="195" t="str">
        <f t="shared" si="6"/>
        <v>Νέστου</v>
      </c>
    </row>
    <row r="16" spans="1:15" x14ac:dyDescent="0.25">
      <c r="A16" s="197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5" t="s">
        <v>595</v>
      </c>
      <c r="G16" s="195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197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5">
        <f t="shared" si="4"/>
        <v>14330</v>
      </c>
      <c r="O16" s="195" t="str">
        <f t="shared" si="6"/>
        <v>Ξάνθης</v>
      </c>
    </row>
    <row r="17" spans="1:15" x14ac:dyDescent="0.25">
      <c r="A17" s="197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5" t="s">
        <v>596</v>
      </c>
      <c r="G17" s="195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197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5">
        <f t="shared" si="4"/>
        <v>14352</v>
      </c>
      <c r="O17" s="195" t="str">
        <f t="shared" si="6"/>
        <v>Ορεστιάδας</v>
      </c>
    </row>
    <row r="18" spans="1:15" x14ac:dyDescent="0.25">
      <c r="A18" s="197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5" t="s">
        <v>597</v>
      </c>
      <c r="G18" s="195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197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5">
        <f t="shared" si="4"/>
        <v>14360</v>
      </c>
      <c r="O18" s="195" t="str">
        <f t="shared" si="6"/>
        <v>Παγγαίου</v>
      </c>
    </row>
    <row r="19" spans="1:15" x14ac:dyDescent="0.25">
      <c r="A19" s="197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5" t="s">
        <v>598</v>
      </c>
      <c r="G19" s="195">
        <v>14396</v>
      </c>
      <c r="H19" t="str">
        <f>_xlfn.IFNA(INDEX(DimosNaiOxi,MATCH(ΤΚ!E19,DimosNai,0)),"")</f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 s="197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5">
        <f t="shared" si="4"/>
        <v>14396</v>
      </c>
      <c r="O19" s="195" t="str">
        <f t="shared" si="6"/>
        <v>Παρανεστίου</v>
      </c>
    </row>
    <row r="20" spans="1:15" x14ac:dyDescent="0.25">
      <c r="A20" s="197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5" t="s">
        <v>599</v>
      </c>
      <c r="G20" s="195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197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5">
        <f t="shared" si="4"/>
        <v>14420</v>
      </c>
      <c r="O20" s="195" t="str">
        <f t="shared" si="6"/>
        <v>Προσοτσάνης</v>
      </c>
    </row>
    <row r="21" spans="1:15" x14ac:dyDescent="0.25">
      <c r="A21" s="197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5" t="s">
        <v>600</v>
      </c>
      <c r="G21" s="195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Μερική</v>
      </c>
      <c r="J21" t="str">
        <f t="shared" si="5"/>
        <v/>
      </c>
      <c r="K21" s="197">
        <f t="shared" si="1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 s="195">
        <f t="shared" si="4"/>
        <v>14470</v>
      </c>
      <c r="O21" s="195" t="str">
        <f t="shared" si="6"/>
        <v>Σουφλίου</v>
      </c>
    </row>
    <row r="22" spans="1:15" x14ac:dyDescent="0.25">
      <c r="A22" s="197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5" t="s">
        <v>601</v>
      </c>
      <c r="G22" s="195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197">
        <f t="shared" si="1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 s="195">
        <f t="shared" si="4"/>
        <v>14492</v>
      </c>
      <c r="O22" s="195" t="str">
        <f t="shared" si="6"/>
        <v>Τοπείρου</v>
      </c>
    </row>
    <row r="23" spans="1:15" x14ac:dyDescent="0.25">
      <c r="A23" s="197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5" t="s">
        <v>602</v>
      </c>
      <c r="G23" s="195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197">
        <f t="shared" si="1"/>
        <v>23</v>
      </c>
      <c r="L23" t="str">
        <f t="shared" si="2"/>
        <v>ΑΤΤΙΚΗΣ</v>
      </c>
      <c r="M23" t="str">
        <f t="shared" si="3"/>
        <v>ΑΤΤΙΚΗΣ - ΑΓΙΑΣ ΒΑΡΒΑΡΑΣ</v>
      </c>
      <c r="N23" s="195">
        <f t="shared" si="4"/>
        <v>13922</v>
      </c>
      <c r="O23" s="195" t="str">
        <f t="shared" si="6"/>
        <v>Αγίας Βαρβάρας</v>
      </c>
    </row>
    <row r="24" spans="1:15" x14ac:dyDescent="0.25">
      <c r="A24" s="197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5" t="s">
        <v>603</v>
      </c>
      <c r="G24" s="195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197">
        <f t="shared" si="1"/>
        <v>24</v>
      </c>
      <c r="L24" t="str">
        <f t="shared" si="2"/>
        <v>ΑΤΤΙΚΗΣ</v>
      </c>
      <c r="M24" t="str">
        <f t="shared" si="3"/>
        <v>ΑΤΤΙΚΗΣ - ΑΓΙΑΣ ΠΑΡΑΣΚΕΥΗΣ</v>
      </c>
      <c r="N24" s="195">
        <f t="shared" si="4"/>
        <v>13924</v>
      </c>
      <c r="O24" s="195" t="str">
        <f t="shared" si="6"/>
        <v>Αγίας Παρασκευής</v>
      </c>
    </row>
    <row r="25" spans="1:15" x14ac:dyDescent="0.25">
      <c r="A25" s="197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5" t="s">
        <v>604</v>
      </c>
      <c r="G25" s="195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197">
        <f t="shared" si="1"/>
        <v>25</v>
      </c>
      <c r="L25" t="str">
        <f t="shared" si="2"/>
        <v>ΑΤΤΙΚΗΣ</v>
      </c>
      <c r="M25" t="str">
        <f t="shared" si="3"/>
        <v>ΑΤΤΙΚΗΣ - ΑΓΙΟΥ ΔΗΜΗΤΡΙΟΥ</v>
      </c>
      <c r="N25" s="195">
        <f t="shared" si="4"/>
        <v>13926</v>
      </c>
      <c r="O25" s="195" t="str">
        <f t="shared" si="6"/>
        <v>Αγίου Δημητρίου</v>
      </c>
    </row>
    <row r="26" spans="1:15" x14ac:dyDescent="0.25">
      <c r="A26" s="197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5" t="s">
        <v>605</v>
      </c>
      <c r="G26" s="195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197">
        <f t="shared" si="1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 s="195">
        <f t="shared" si="4"/>
        <v>13932</v>
      </c>
      <c r="O26" s="195" t="str">
        <f t="shared" si="6"/>
        <v>Αγίων Αναργύρων - Καματερού</v>
      </c>
    </row>
    <row r="27" spans="1:15" x14ac:dyDescent="0.25">
      <c r="A27" s="197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5" t="s">
        <v>606</v>
      </c>
      <c r="G27" s="195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197">
        <f t="shared" si="1"/>
        <v>28</v>
      </c>
      <c r="L27" t="str">
        <f t="shared" si="2"/>
        <v>ΑΤΤΙΚΗΣ</v>
      </c>
      <c r="M27" t="str">
        <f t="shared" si="3"/>
        <v>ΑΤΤΙΚΗΣ - ΑΘΗΝΑΙΩΝ</v>
      </c>
      <c r="N27" s="195">
        <f t="shared" si="4"/>
        <v>13944</v>
      </c>
      <c r="O27" s="195" t="str">
        <f t="shared" si="6"/>
        <v>Αθηναίων</v>
      </c>
    </row>
    <row r="28" spans="1:15" x14ac:dyDescent="0.25">
      <c r="A28" s="197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5" t="s">
        <v>607</v>
      </c>
      <c r="G28" s="195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197">
        <f t="shared" si="1"/>
        <v>29</v>
      </c>
      <c r="L28" t="str">
        <f t="shared" si="2"/>
        <v>ΑΤΤΙΚΗΣ</v>
      </c>
      <c r="M28" t="str">
        <f t="shared" si="3"/>
        <v>ΑΤΤΙΚΗΣ - ΑΙΓΑΛΕΩ</v>
      </c>
      <c r="N28" s="195">
        <f t="shared" si="4"/>
        <v>13946</v>
      </c>
      <c r="O28" s="195" t="str">
        <f t="shared" si="6"/>
        <v>Αιγάλεω</v>
      </c>
    </row>
    <row r="29" spans="1:15" x14ac:dyDescent="0.25">
      <c r="A29" s="197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5" t="s">
        <v>608</v>
      </c>
      <c r="G29" s="195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197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195">
        <f t="shared" si="4"/>
        <v>13956</v>
      </c>
      <c r="O29" s="195" t="str">
        <f t="shared" si="6"/>
        <v>Αλίμου</v>
      </c>
    </row>
    <row r="30" spans="1:15" x14ac:dyDescent="0.25">
      <c r="A30" s="197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5" t="s">
        <v>609</v>
      </c>
      <c r="G30" s="195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197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195">
        <f t="shared" si="4"/>
        <v>13964</v>
      </c>
      <c r="O30" s="195" t="str">
        <f t="shared" si="6"/>
        <v>Αμαρουσίου</v>
      </c>
    </row>
    <row r="31" spans="1:15" x14ac:dyDescent="0.25">
      <c r="A31" s="197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5" t="s">
        <v>610</v>
      </c>
      <c r="G31" s="195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197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195">
        <f t="shared" si="4"/>
        <v>14004</v>
      </c>
      <c r="O31" s="195" t="str">
        <f t="shared" si="6"/>
        <v>Ασπροπύργου</v>
      </c>
    </row>
    <row r="32" spans="1:15" x14ac:dyDescent="0.25">
      <c r="A32" s="197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5" t="s">
        <v>611</v>
      </c>
      <c r="G32" s="195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197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195">
        <f t="shared" si="4"/>
        <v>14008</v>
      </c>
      <c r="O32" s="195" t="str">
        <f t="shared" si="6"/>
        <v>Αχαρνών</v>
      </c>
    </row>
    <row r="33" spans="1:15" x14ac:dyDescent="0.25">
      <c r="A33" s="197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5" t="s">
        <v>612</v>
      </c>
      <c r="G33" s="195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197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195">
        <f t="shared" si="4"/>
        <v>14010</v>
      </c>
      <c r="O33" s="195" t="str">
        <f t="shared" si="6"/>
        <v>Βάρης - Βούλας - Βουλιαγμένης</v>
      </c>
    </row>
    <row r="34" spans="1:15" x14ac:dyDescent="0.25">
      <c r="A34" s="197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5" t="s">
        <v>613</v>
      </c>
      <c r="G34" s="195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197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195">
        <f t="shared" si="4"/>
        <v>14024</v>
      </c>
      <c r="O34" s="195" t="str">
        <f t="shared" si="6"/>
        <v>Βριλησσίων</v>
      </c>
    </row>
    <row r="35" spans="1:15" x14ac:dyDescent="0.25">
      <c r="A35" s="197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5" t="s">
        <v>614</v>
      </c>
      <c r="G35" s="195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197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195">
        <f t="shared" si="4"/>
        <v>14032</v>
      </c>
      <c r="O35" s="195" t="str">
        <f t="shared" si="6"/>
        <v>Βύρωνος</v>
      </c>
    </row>
    <row r="36" spans="1:15" x14ac:dyDescent="0.25">
      <c r="A36" s="197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5" t="s">
        <v>615</v>
      </c>
      <c r="G36" s="195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197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195">
        <f t="shared" si="4"/>
        <v>14036</v>
      </c>
      <c r="O36" s="195" t="str">
        <f t="shared" si="6"/>
        <v>Γαλατσίου</v>
      </c>
    </row>
    <row r="37" spans="1:15" x14ac:dyDescent="0.25">
      <c r="A37" s="197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5" t="s">
        <v>616</v>
      </c>
      <c r="G37" s="195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197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195">
        <f t="shared" si="4"/>
        <v>14040</v>
      </c>
      <c r="O37" s="195" t="str">
        <f t="shared" si="6"/>
        <v>Γλυφάδας</v>
      </c>
    </row>
    <row r="38" spans="1:15" x14ac:dyDescent="0.25">
      <c r="A38" s="197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5" t="s">
        <v>617</v>
      </c>
      <c r="G38" s="195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197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195">
        <f t="shared" si="4"/>
        <v>14048</v>
      </c>
      <c r="O38" s="195" t="str">
        <f t="shared" si="6"/>
        <v>Δάφνης - Υμηττού</v>
      </c>
    </row>
    <row r="39" spans="1:15" x14ac:dyDescent="0.25">
      <c r="A39" s="197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5" t="s">
        <v>618</v>
      </c>
      <c r="G39" s="195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197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195">
        <f t="shared" si="4"/>
        <v>14060</v>
      </c>
      <c r="O39" s="195" t="str">
        <f t="shared" si="6"/>
        <v>Διονύσου</v>
      </c>
    </row>
    <row r="40" spans="1:15" x14ac:dyDescent="0.25">
      <c r="A40" s="197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5" t="s">
        <v>619</v>
      </c>
      <c r="G40" s="195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197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195">
        <f t="shared" si="4"/>
        <v>14084</v>
      </c>
      <c r="O40" s="195" t="str">
        <f t="shared" si="6"/>
        <v>Ελευσίνας</v>
      </c>
    </row>
    <row r="41" spans="1:15" x14ac:dyDescent="0.25">
      <c r="A41" s="197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5" t="s">
        <v>620</v>
      </c>
      <c r="G41" s="195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197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195">
        <f t="shared" si="4"/>
        <v>14086</v>
      </c>
      <c r="O41" s="195" t="str">
        <f t="shared" si="6"/>
        <v>Ελληνικού - Αργυρούπολης</v>
      </c>
    </row>
    <row r="42" spans="1:15" x14ac:dyDescent="0.25">
      <c r="A42" s="197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5" t="s">
        <v>621</v>
      </c>
      <c r="G42" s="195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197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195">
        <f t="shared" si="4"/>
        <v>14116</v>
      </c>
      <c r="O42" s="195" t="str">
        <f t="shared" si="6"/>
        <v>Ζωγράφου</v>
      </c>
    </row>
    <row r="43" spans="1:15" x14ac:dyDescent="0.25">
      <c r="A43" s="197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5" t="s">
        <v>622</v>
      </c>
      <c r="G43" s="195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197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195">
        <f t="shared" si="4"/>
        <v>14120</v>
      </c>
      <c r="O43" s="195" t="str">
        <f t="shared" si="6"/>
        <v>Ηλιούπολης</v>
      </c>
    </row>
    <row r="44" spans="1:15" x14ac:dyDescent="0.25">
      <c r="A44" s="197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5" t="s">
        <v>623</v>
      </c>
      <c r="G44" s="195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197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195">
        <f t="shared" si="4"/>
        <v>0</v>
      </c>
      <c r="O44" s="195">
        <f t="shared" si="6"/>
        <v>0</v>
      </c>
    </row>
    <row r="45" spans="1:15" x14ac:dyDescent="0.25">
      <c r="A45" s="197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5" t="s">
        <v>624</v>
      </c>
      <c r="G45" s="195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197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195">
        <f t="shared" si="4"/>
        <v>14150</v>
      </c>
      <c r="O45" s="195" t="str">
        <f t="shared" si="6"/>
        <v>Ιλίου</v>
      </c>
    </row>
    <row r="46" spans="1:15" x14ac:dyDescent="0.25">
      <c r="A46" s="197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5" t="s">
        <v>625</v>
      </c>
      <c r="G46" s="195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197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195">
        <f t="shared" si="4"/>
        <v>14158</v>
      </c>
      <c r="O46" s="195" t="str">
        <f t="shared" si="6"/>
        <v>Καισαριανής</v>
      </c>
    </row>
    <row r="47" spans="1:15" x14ac:dyDescent="0.25">
      <c r="A47" s="197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197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195">
        <f t="shared" si="4"/>
        <v>14180</v>
      </c>
      <c r="O47" s="195" t="str">
        <f t="shared" si="6"/>
        <v>Καλλιθέας</v>
      </c>
    </row>
    <row r="48" spans="1:15" x14ac:dyDescent="0.25">
      <c r="A48" s="197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5" t="s">
        <v>626</v>
      </c>
      <c r="G48" s="195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197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195">
        <f t="shared" si="4"/>
        <v>14164</v>
      </c>
      <c r="O48" s="195" t="str">
        <f t="shared" si="6"/>
        <v>Κερατσινίου - Δραπετσώνας</v>
      </c>
    </row>
    <row r="49" spans="1:15" x14ac:dyDescent="0.25">
      <c r="A49" s="197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5" t="s">
        <v>627</v>
      </c>
      <c r="G49" s="195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197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195">
        <f t="shared" si="4"/>
        <v>14166</v>
      </c>
      <c r="O49" s="195" t="str">
        <f t="shared" si="6"/>
        <v>Κηφισιάς</v>
      </c>
    </row>
    <row r="50" spans="1:15" x14ac:dyDescent="0.25">
      <c r="A50" s="197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5" t="s">
        <v>628</v>
      </c>
      <c r="G50" s="195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197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195">
        <f t="shared" si="4"/>
        <v>14226</v>
      </c>
      <c r="O50" s="195" t="str">
        <f t="shared" si="6"/>
        <v>Κορυδαλλού</v>
      </c>
    </row>
    <row r="51" spans="1:15" x14ac:dyDescent="0.25">
      <c r="A51" s="197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5" t="s">
        <v>629</v>
      </c>
      <c r="G51" s="195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197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195">
        <f t="shared" si="4"/>
        <v>14228</v>
      </c>
      <c r="O51" s="195" t="str">
        <f t="shared" si="6"/>
        <v>Κρωπίας</v>
      </c>
    </row>
    <row r="52" spans="1:15" x14ac:dyDescent="0.25">
      <c r="A52" s="197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5" t="s">
        <v>630</v>
      </c>
      <c r="G52" s="195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197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195">
        <f t="shared" si="4"/>
        <v>14248</v>
      </c>
      <c r="O52" s="195" t="str">
        <f t="shared" si="6"/>
        <v>Λαυρεωτικής</v>
      </c>
    </row>
    <row r="53" spans="1:15" x14ac:dyDescent="0.25">
      <c r="A53" s="197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5" t="s">
        <v>631</v>
      </c>
      <c r="G53" s="195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197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195">
        <f t="shared" si="4"/>
        <v>14260</v>
      </c>
      <c r="O53" s="195" t="str">
        <f t="shared" si="6"/>
        <v>Λυκόβρυσης - Πεύκης</v>
      </c>
    </row>
    <row r="54" spans="1:15" x14ac:dyDescent="0.25">
      <c r="A54" s="197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5" t="s">
        <v>632</v>
      </c>
      <c r="G54" s="195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197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195">
        <f t="shared" si="4"/>
        <v>14274</v>
      </c>
      <c r="O54" s="195" t="str">
        <f t="shared" si="6"/>
        <v>Μάνδρας - Ειδυλλίας</v>
      </c>
    </row>
    <row r="55" spans="1:15" x14ac:dyDescent="0.25">
      <c r="A55" s="197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5" t="s">
        <v>633</v>
      </c>
      <c r="G55" s="195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197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195">
        <f t="shared" si="4"/>
        <v>14266</v>
      </c>
      <c r="O55" s="195" t="str">
        <f t="shared" si="6"/>
        <v>Μαραθώνος</v>
      </c>
    </row>
    <row r="56" spans="1:15" x14ac:dyDescent="0.25">
      <c r="A56" s="197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5" t="s">
        <v>634</v>
      </c>
      <c r="G56" s="195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197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195">
        <f t="shared" si="4"/>
        <v>14278</v>
      </c>
      <c r="O56" s="195" t="str">
        <f t="shared" si="6"/>
        <v>Μαρκοπούλου Μεσογαίας</v>
      </c>
    </row>
    <row r="57" spans="1:15" x14ac:dyDescent="0.25">
      <c r="A57" s="197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5" t="s">
        <v>635</v>
      </c>
      <c r="G57" s="195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197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195">
        <f t="shared" si="4"/>
        <v>14288</v>
      </c>
      <c r="O57" s="195" t="str">
        <f t="shared" si="6"/>
        <v>Μεγαρέων</v>
      </c>
    </row>
    <row r="58" spans="1:15" x14ac:dyDescent="0.25">
      <c r="A58" s="197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5" t="s">
        <v>636</v>
      </c>
      <c r="G58" s="195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197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195">
        <f t="shared" si="4"/>
        <v>14286</v>
      </c>
      <c r="O58" s="195" t="str">
        <f t="shared" si="6"/>
        <v>Μεταμορφώσεως</v>
      </c>
    </row>
    <row r="59" spans="1:15" x14ac:dyDescent="0.25">
      <c r="A59" s="197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5" t="s">
        <v>637</v>
      </c>
      <c r="G59" s="195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197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195">
        <f t="shared" si="4"/>
        <v>14300</v>
      </c>
      <c r="O59" s="195" t="str">
        <f t="shared" si="6"/>
        <v>Μοσχάτου - Ταύρου</v>
      </c>
    </row>
    <row r="60" spans="1:15" x14ac:dyDescent="0.25">
      <c r="A60" s="197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5" t="s">
        <v>638</v>
      </c>
      <c r="G60" s="195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197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195">
        <f t="shared" si="4"/>
        <v>14316</v>
      </c>
      <c r="O60" s="195" t="str">
        <f t="shared" si="6"/>
        <v>Νέας Ιωνίας</v>
      </c>
    </row>
    <row r="61" spans="1:15" x14ac:dyDescent="0.25">
      <c r="A61" s="197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5" t="s">
        <v>639</v>
      </c>
      <c r="G61" s="195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197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195">
        <f t="shared" si="4"/>
        <v>14320</v>
      </c>
      <c r="O61" s="195" t="str">
        <f t="shared" si="6"/>
        <v>Νέας Σμύρνης</v>
      </c>
    </row>
    <row r="62" spans="1:15" x14ac:dyDescent="0.25">
      <c r="A62" s="197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5" t="s">
        <v>640</v>
      </c>
      <c r="G62" s="195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197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195">
        <f t="shared" si="4"/>
        <v>14338</v>
      </c>
      <c r="O62" s="195" t="str">
        <f t="shared" si="6"/>
        <v>Νίκαιας - Αγίου Ι. Ρέντη</v>
      </c>
    </row>
    <row r="63" spans="1:15" x14ac:dyDescent="0.25">
      <c r="A63" s="197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5" t="s">
        <v>641</v>
      </c>
      <c r="G63" s="195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197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195">
        <f t="shared" si="4"/>
        <v>14362</v>
      </c>
      <c r="O63" s="195" t="str">
        <f t="shared" si="6"/>
        <v>Παιανίας</v>
      </c>
    </row>
    <row r="64" spans="1:15" x14ac:dyDescent="0.25">
      <c r="A64" s="197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5" t="s">
        <v>642</v>
      </c>
      <c r="G64" s="195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197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195">
        <f t="shared" si="4"/>
        <v>14386</v>
      </c>
      <c r="O64" s="195" t="str">
        <f t="shared" si="6"/>
        <v>Παλαιού Φαλήρου</v>
      </c>
    </row>
    <row r="65" spans="1:15" x14ac:dyDescent="0.25">
      <c r="A65" s="197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5" t="s">
        <v>643</v>
      </c>
      <c r="G65" s="195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197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195">
        <f t="shared" si="4"/>
        <v>14390</v>
      </c>
      <c r="O65" s="195" t="str">
        <f t="shared" si="6"/>
        <v>Παλλήνης</v>
      </c>
    </row>
    <row r="66" spans="1:15" x14ac:dyDescent="0.25">
      <c r="A66" s="197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5" t="s">
        <v>644</v>
      </c>
      <c r="G66" s="195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197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195">
        <f t="shared" si="4"/>
        <v>14394</v>
      </c>
      <c r="O66" s="195" t="str">
        <f t="shared" si="6"/>
        <v>Παπάγου - Χολαργού</v>
      </c>
    </row>
    <row r="67" spans="1:15" x14ac:dyDescent="0.25">
      <c r="A67" s="197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5" t="s">
        <v>645</v>
      </c>
      <c r="G67" s="195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197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195">
        <f t="shared" ref="N67:N130" si="12">IF(ISNUMBER(K67),LOOKUP(K67,A:A,G:G),"")</f>
        <v>14402</v>
      </c>
      <c r="O67" s="195" t="str">
        <f t="shared" ref="O67:O130" si="13">IF(ISNUMBER(K67),LOOKUP(K67,A:A,F:F),"")</f>
        <v>Πειραιώς</v>
      </c>
    </row>
    <row r="68" spans="1:15" x14ac:dyDescent="0.25">
      <c r="A68" s="197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5" t="s">
        <v>646</v>
      </c>
      <c r="G68" s="195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197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195">
        <f t="shared" si="12"/>
        <v>14404</v>
      </c>
      <c r="O68" s="195" t="str">
        <f t="shared" si="13"/>
        <v>Πεντέλης</v>
      </c>
    </row>
    <row r="69" spans="1:15" x14ac:dyDescent="0.25">
      <c r="A69" s="197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5" t="s">
        <v>647</v>
      </c>
      <c r="G69" s="195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197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195">
        <f t="shared" si="12"/>
        <v>14370</v>
      </c>
      <c r="O69" s="195" t="str">
        <f t="shared" si="13"/>
        <v>Περάματος</v>
      </c>
    </row>
    <row r="70" spans="1:15" x14ac:dyDescent="0.25">
      <c r="A70" s="197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5" t="s">
        <v>648</v>
      </c>
      <c r="G70" s="195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197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195">
        <f t="shared" si="12"/>
        <v>14406</v>
      </c>
      <c r="O70" s="195" t="str">
        <f t="shared" si="13"/>
        <v>Περιστερίου</v>
      </c>
    </row>
    <row r="71" spans="1:15" x14ac:dyDescent="0.25">
      <c r="A71" s="197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5" t="s">
        <v>649</v>
      </c>
      <c r="G71" s="195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197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195">
        <f t="shared" si="12"/>
        <v>14408</v>
      </c>
      <c r="O71" s="195" t="str">
        <f t="shared" si="13"/>
        <v>Πετρούπολης</v>
      </c>
    </row>
    <row r="72" spans="1:15" x14ac:dyDescent="0.25">
      <c r="A72" s="197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5" t="s">
        <v>650</v>
      </c>
      <c r="G72" s="195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197">
        <f t="shared" si="8"/>
        <v>76</v>
      </c>
      <c r="L72" t="str">
        <f t="shared" si="9"/>
        <v>ΑΤΤΙΚΗΣ</v>
      </c>
      <c r="M72" t="str">
        <f t="shared" si="10"/>
        <v>ΑΤΤΙΚΗΣ - ΡΑΦΗΝΑΣ – ΠΙΚΕΡΜΙΟΥ</v>
      </c>
      <c r="N72" s="195">
        <f t="shared" si="12"/>
        <v>14380</v>
      </c>
      <c r="O72" s="195" t="str">
        <f t="shared" si="13"/>
        <v>Ραφήνας - Πικερμίου</v>
      </c>
    </row>
    <row r="73" spans="1:15" x14ac:dyDescent="0.25">
      <c r="A73" s="197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5" t="s">
        <v>651</v>
      </c>
      <c r="G73" s="195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197">
        <f t="shared" si="8"/>
        <v>77</v>
      </c>
      <c r="L73" t="str">
        <f t="shared" si="9"/>
        <v>ΑΤΤΙΚΗΣ</v>
      </c>
      <c r="M73" t="str">
        <f t="shared" si="10"/>
        <v>ΑΤΤΙΚΗΣ - ΣΑΛΑΜΙΝΟΣ</v>
      </c>
      <c r="N73" s="195">
        <f t="shared" si="12"/>
        <v>14430</v>
      </c>
      <c r="O73" s="195" t="str">
        <f t="shared" si="13"/>
        <v>Σαλαμίνας</v>
      </c>
    </row>
    <row r="74" spans="1:15" x14ac:dyDescent="0.25">
      <c r="A74" s="197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5" t="s">
        <v>652</v>
      </c>
      <c r="G74" s="195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197">
        <f t="shared" si="8"/>
        <v>78</v>
      </c>
      <c r="L74" t="str">
        <f t="shared" si="9"/>
        <v>ΑΤΤΙΚΗΣ</v>
      </c>
      <c r="M74" t="str">
        <f t="shared" si="10"/>
        <v>ΑΤΤΙΚΗΣ - ΣΑΡΩΝΙΚΟΥ</v>
      </c>
      <c r="N74" s="195">
        <f t="shared" si="12"/>
        <v>14448</v>
      </c>
      <c r="O74" s="195" t="str">
        <f t="shared" si="13"/>
        <v>Σαρωνικού</v>
      </c>
    </row>
    <row r="75" spans="1:15" x14ac:dyDescent="0.25">
      <c r="A75" s="197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5" t="s">
        <v>653</v>
      </c>
      <c r="G75" s="195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197">
        <f t="shared" si="8"/>
        <v>79</v>
      </c>
      <c r="L75" t="str">
        <f t="shared" si="9"/>
        <v>ΑΤΤΙΚΗΣ</v>
      </c>
      <c r="M75" t="str">
        <f t="shared" si="10"/>
        <v>ΑΤΤΙΚΗΣ - ΣΠΑΤΩΝ – ΑΡΤΕΜΙΔΟΣ</v>
      </c>
      <c r="N75" s="195">
        <f t="shared" si="12"/>
        <v>14480</v>
      </c>
      <c r="O75" s="195" t="str">
        <f t="shared" si="13"/>
        <v>Σπάτων - Αρτέμιδος</v>
      </c>
    </row>
    <row r="76" spans="1:15" x14ac:dyDescent="0.25">
      <c r="A76" s="197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5" t="s">
        <v>654</v>
      </c>
      <c r="G76" s="195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Μερική</v>
      </c>
      <c r="J76" t="str">
        <f t="shared" si="11"/>
        <v/>
      </c>
      <c r="K76" s="197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195">
        <f t="shared" si="12"/>
        <v>14514</v>
      </c>
      <c r="O76" s="195" t="str">
        <f t="shared" si="13"/>
        <v>Φιλαδελφείας - Χαλκηδόνος</v>
      </c>
    </row>
    <row r="77" spans="1:15" x14ac:dyDescent="0.25">
      <c r="A77" s="197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5" t="s">
        <v>655</v>
      </c>
      <c r="G77" s="195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197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195">
        <f t="shared" si="12"/>
        <v>14518</v>
      </c>
      <c r="O77" s="195" t="str">
        <f t="shared" si="13"/>
        <v>Φιλοθέης - Ψυχικού</v>
      </c>
    </row>
    <row r="78" spans="1:15" x14ac:dyDescent="0.25">
      <c r="A78" s="197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5" t="s">
        <v>656</v>
      </c>
      <c r="G78" s="195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197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195">
        <f t="shared" si="12"/>
        <v>14528</v>
      </c>
      <c r="O78" s="195" t="str">
        <f t="shared" si="13"/>
        <v>Φυλής</v>
      </c>
    </row>
    <row r="79" spans="1:15" x14ac:dyDescent="0.25">
      <c r="A79" s="197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5" t="s">
        <v>657</v>
      </c>
      <c r="G79" s="195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197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195">
        <f t="shared" si="12"/>
        <v>14526</v>
      </c>
      <c r="O79" s="195" t="str">
        <f t="shared" si="13"/>
        <v>Χαϊδαρίου</v>
      </c>
    </row>
    <row r="80" spans="1:15" x14ac:dyDescent="0.25">
      <c r="A80" s="197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5" t="s">
        <v>658</v>
      </c>
      <c r="G80" s="195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197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195">
        <f t="shared" si="12"/>
        <v>14530</v>
      </c>
      <c r="O80" s="195" t="str">
        <f t="shared" si="13"/>
        <v>Χαλανδρίου</v>
      </c>
    </row>
    <row r="81" spans="1:15" x14ac:dyDescent="0.25">
      <c r="A81" s="197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5" t="s">
        <v>659</v>
      </c>
      <c r="G81" s="195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Μερική</v>
      </c>
      <c r="J81" t="str">
        <f t="shared" si="11"/>
        <v/>
      </c>
      <c r="K81" s="197">
        <f t="shared" si="8"/>
        <v>90</v>
      </c>
      <c r="L81" t="str">
        <f t="shared" si="9"/>
        <v>ΒΟΡΕΙΟΥ ΑΙΓΑΙΟΥ</v>
      </c>
      <c r="M81" t="str">
        <f t="shared" si="10"/>
        <v>ΒΟΡΕΙΟΥ ΑΙΓΑΙΟΥ - ΙΚΑΡΙΑΣ</v>
      </c>
      <c r="N81" s="195">
        <f t="shared" si="12"/>
        <v>14148</v>
      </c>
      <c r="O81" s="195" t="str">
        <f t="shared" si="13"/>
        <v>Ικαρίας</v>
      </c>
    </row>
    <row r="82" spans="1:15" x14ac:dyDescent="0.25">
      <c r="A82" s="197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5" t="s">
        <v>660</v>
      </c>
      <c r="G82" s="195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197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195">
        <f t="shared" si="12"/>
        <v>14256</v>
      </c>
      <c r="O82" s="195" t="str">
        <f t="shared" si="13"/>
        <v>Λέσβου</v>
      </c>
    </row>
    <row r="83" spans="1:15" x14ac:dyDescent="0.25">
      <c r="A83" s="197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5" t="s">
        <v>661</v>
      </c>
      <c r="G83" s="195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197">
        <f t="shared" si="8"/>
        <v>92</v>
      </c>
      <c r="L83" t="str">
        <f t="shared" si="9"/>
        <v>ΒΟΡΕΙΟΥ ΑΙΓΑΙΟΥ</v>
      </c>
      <c r="M83" t="str">
        <f t="shared" si="10"/>
        <v>ΒΟΡΕΙΟΥ ΑΙΓΑΙΟΥ - ΛΗΜΝΟΥ</v>
      </c>
      <c r="N83" s="195">
        <f t="shared" si="12"/>
        <v>14240</v>
      </c>
      <c r="O83" s="195" t="str">
        <f t="shared" si="13"/>
        <v>Λήμνου</v>
      </c>
    </row>
    <row r="84" spans="1:15" x14ac:dyDescent="0.25">
      <c r="A84" s="197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5" t="s">
        <v>662</v>
      </c>
      <c r="G84" s="195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197">
        <f t="shared" si="8"/>
        <v>94</v>
      </c>
      <c r="L84" t="str">
        <f t="shared" si="9"/>
        <v>ΒΟΡΕΙΟΥ ΑΙΓΑΙΟΥ</v>
      </c>
      <c r="M84" t="str">
        <f t="shared" si="10"/>
        <v>ΒΟΡΕΙΟΥ ΑΙΓΑΙΟΥ - ΣΑΜΟΥ</v>
      </c>
      <c r="N84" s="195">
        <f t="shared" si="12"/>
        <v>14446</v>
      </c>
      <c r="O84" s="195" t="str">
        <f t="shared" si="13"/>
        <v>Σάμου</v>
      </c>
    </row>
    <row r="85" spans="1:15" x14ac:dyDescent="0.25">
      <c r="A85" s="197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5" t="s">
        <v>663</v>
      </c>
      <c r="G85" s="195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197">
        <f t="shared" si="8"/>
        <v>96</v>
      </c>
      <c r="L85" t="str">
        <f t="shared" si="9"/>
        <v>ΒΟΡΕΙΟΥ ΑΙΓΑΙΟΥ</v>
      </c>
      <c r="M85" t="str">
        <f t="shared" si="10"/>
        <v>ΒΟΡΕΙΟΥ ΑΙΓΑΙΟΥ - ΧΙΟΥ</v>
      </c>
      <c r="N85" s="195">
        <f t="shared" si="12"/>
        <v>14542</v>
      </c>
      <c r="O85" s="195" t="str">
        <f t="shared" si="13"/>
        <v>Χίου</v>
      </c>
    </row>
    <row r="86" spans="1:15" x14ac:dyDescent="0.25">
      <c r="A86" s="197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5" t="s">
        <v>664</v>
      </c>
      <c r="G86" s="195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197">
        <f t="shared" si="8"/>
        <v>98</v>
      </c>
      <c r="L86" t="str">
        <f t="shared" si="9"/>
        <v>ΔΥΤΙΚΗΣ ΕΛΛΑΔΑΣ</v>
      </c>
      <c r="M86" t="str">
        <f t="shared" si="10"/>
        <v>ΔΥΤΙΚΗΣ ΕΛΛΑΔΑΣ - ΑΓΡΙΝΙΟΥ</v>
      </c>
      <c r="N86" s="195">
        <f t="shared" si="12"/>
        <v>13942</v>
      </c>
      <c r="O86" s="195" t="str">
        <f t="shared" si="13"/>
        <v>Αγρινίου</v>
      </c>
    </row>
    <row r="87" spans="1:15" x14ac:dyDescent="0.25">
      <c r="A87" s="197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5" t="s">
        <v>665</v>
      </c>
      <c r="G87" s="195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197">
        <f t="shared" si="8"/>
        <v>99</v>
      </c>
      <c r="L87" t="str">
        <f t="shared" si="9"/>
        <v>ΔΥΤΙΚΗΣ ΕΛΛΑΔΑΣ</v>
      </c>
      <c r="M87" t="str">
        <f t="shared" si="10"/>
        <v>ΔΥΤΙΚΗΣ ΕΛΛΑΔΑΣ - ΑΙΓΙΑΛΕΙΑΣ</v>
      </c>
      <c r="N87" s="195">
        <f t="shared" si="12"/>
        <v>13904</v>
      </c>
      <c r="O87" s="195" t="str">
        <f t="shared" si="13"/>
        <v>Αιγιαλείας</v>
      </c>
    </row>
    <row r="88" spans="1:15" x14ac:dyDescent="0.25">
      <c r="A88" s="197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5" t="s">
        <v>666</v>
      </c>
      <c r="G88" s="195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197">
        <f t="shared" si="8"/>
        <v>108</v>
      </c>
      <c r="L88" t="str">
        <f t="shared" si="9"/>
        <v>ΔΥΤΙΚΗΣ ΕΛΛΑΔΑΣ</v>
      </c>
      <c r="M88" t="str">
        <f t="shared" si="10"/>
        <v>ΔΥΤΙΚΗΣ ΕΛΛΑΔΑΣ - ΗΛΙΔΑΣ</v>
      </c>
      <c r="N88" s="195">
        <f t="shared" si="12"/>
        <v>14118</v>
      </c>
      <c r="O88" s="195" t="str">
        <f t="shared" si="13"/>
        <v>Ήλιδας</v>
      </c>
    </row>
    <row r="89" spans="1:15" x14ac:dyDescent="0.25">
      <c r="A89" s="197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5" t="s">
        <v>667</v>
      </c>
      <c r="G89" s="195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Μερική</v>
      </c>
      <c r="J89" t="str">
        <f t="shared" si="11"/>
        <v/>
      </c>
      <c r="K89" s="197">
        <f t="shared" si="8"/>
        <v>114</v>
      </c>
      <c r="L89" t="str">
        <f t="shared" si="9"/>
        <v>ΔΥΤΙΚΗΣ ΕΛΛΑΔΑΣ</v>
      </c>
      <c r="M89" t="str">
        <f t="shared" si="10"/>
        <v>ΔΥΤΙΚΗΣ ΕΛΛΑΔΑΣ - ΠΑΤΡΕΩΝ</v>
      </c>
      <c r="N89" s="195">
        <f t="shared" si="12"/>
        <v>14366</v>
      </c>
      <c r="O89" s="195" t="str">
        <f t="shared" si="13"/>
        <v>Πατρέων</v>
      </c>
    </row>
    <row r="90" spans="1:15" x14ac:dyDescent="0.25">
      <c r="A90" s="197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5" t="s">
        <v>668</v>
      </c>
      <c r="G90" s="195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7">
        <f t="shared" si="8"/>
        <v>116</v>
      </c>
      <c r="L90" t="str">
        <f t="shared" si="9"/>
        <v>ΔΥΤΙΚΗΣ ΕΛΛΑΔΑΣ</v>
      </c>
      <c r="M90" t="str">
        <f t="shared" si="10"/>
        <v>ΔΥΤΙΚΗΣ ΕΛΛΑΔΑΣ - ΠΥΡΓΟΥ</v>
      </c>
      <c r="N90" s="195">
        <f t="shared" si="12"/>
        <v>14376</v>
      </c>
      <c r="O90" s="195" t="str">
        <f t="shared" si="13"/>
        <v>Πύργου</v>
      </c>
    </row>
    <row r="91" spans="1:15" x14ac:dyDescent="0.25">
      <c r="A91" s="197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5" t="s">
        <v>669</v>
      </c>
      <c r="G91" s="195">
        <v>14148</v>
      </c>
      <c r="H91" t="str">
        <f>_xlfn.IFNA(INDEX(DimosNaiOxi,MATCH(ΤΚ!E91,DimosNai,0)),"")</f>
        <v>ΝΑΙ</v>
      </c>
      <c r="I91" t="str">
        <f>LOOKUP(B91,ΠΕΡΙΦΕΡΕΙΑ!$A$2:$A$14,ΠΕΡΙΦΕΡΕΙΑ!$B$2:$B$14)</f>
        <v>Μερική</v>
      </c>
      <c r="J91">
        <f t="shared" si="11"/>
        <v>90</v>
      </c>
      <c r="K91" s="197">
        <f t="shared" si="8"/>
        <v>119</v>
      </c>
      <c r="L91" t="str">
        <f t="shared" si="9"/>
        <v>ΔΥΤΙΚΗΣ ΜΑΚΕΔΟΝΙΑΣ</v>
      </c>
      <c r="M91" t="str">
        <f t="shared" si="10"/>
        <v>ΔΥΤΙΚΗΣ ΜΑΚΕΔΟΝΙΑΣ - ΓΡΕΒΕΝΩΝ</v>
      </c>
      <c r="N91" s="195">
        <f t="shared" si="12"/>
        <v>14038</v>
      </c>
      <c r="O91" s="195" t="str">
        <f t="shared" si="13"/>
        <v>Γρεβενών</v>
      </c>
    </row>
    <row r="92" spans="1:15" x14ac:dyDescent="0.25">
      <c r="A92" s="197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5" t="s">
        <v>670</v>
      </c>
      <c r="G92" s="195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7">
        <f t="shared" si="8"/>
        <v>121</v>
      </c>
      <c r="L92" t="str">
        <f t="shared" si="9"/>
        <v>ΔΥΤΙΚΗΣ ΜΑΚΕΔΟΝΙΑΣ</v>
      </c>
      <c r="M92" t="str">
        <f t="shared" si="10"/>
        <v>ΔΥΤΙΚΗΣ ΜΑΚΕΔΟΝΙΑΣ - ΕΟΡΔΑΙΑΣ</v>
      </c>
      <c r="N92" s="195">
        <f t="shared" si="12"/>
        <v>14090</v>
      </c>
      <c r="O92" s="195" t="str">
        <f t="shared" si="13"/>
        <v>Εορδαίας</v>
      </c>
    </row>
    <row r="93" spans="1:15" x14ac:dyDescent="0.25">
      <c r="A93" s="197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5" t="s">
        <v>671</v>
      </c>
      <c r="G93" s="195">
        <v>14240</v>
      </c>
      <c r="H93" t="str">
        <f>_xlfn.IFNA(INDEX(DimosNaiOxi,MATCH(ΤΚ!E93,DimosNai,0)),"")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197">
        <f t="shared" si="8"/>
        <v>122</v>
      </c>
      <c r="L93" t="str">
        <f t="shared" si="9"/>
        <v>ΔΥΤΙΚΗΣ ΜΑΚΕΔΟΝΙΑΣ</v>
      </c>
      <c r="M93" t="str">
        <f t="shared" si="10"/>
        <v>ΔΥΤΙΚΗΣ ΜΑΚΕΔΟΝΙΑΣ - ΚΑΣΤΟΡΙΑΣ</v>
      </c>
      <c r="N93" s="195">
        <f t="shared" si="12"/>
        <v>14160</v>
      </c>
      <c r="O93" s="195" t="str">
        <f t="shared" si="13"/>
        <v>Καστοριάς</v>
      </c>
    </row>
    <row r="94" spans="1:15" x14ac:dyDescent="0.25">
      <c r="A94" s="197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5" t="s">
        <v>672</v>
      </c>
      <c r="G94" s="195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7">
        <f t="shared" si="8"/>
        <v>123</v>
      </c>
      <c r="L94" t="str">
        <f t="shared" si="9"/>
        <v>ΔΥΤΙΚΗΣ ΜΑΚΕΔΟΝΙΑΣ</v>
      </c>
      <c r="M94" t="str">
        <f t="shared" si="10"/>
        <v>ΔΥΤΙΚΗΣ ΜΑΚΕΔΟΝΙΑΣ - ΚΟΖΑΝΗΣ</v>
      </c>
      <c r="N94" s="195">
        <f t="shared" si="12"/>
        <v>14218</v>
      </c>
      <c r="O94" s="195" t="str">
        <f t="shared" si="13"/>
        <v>Κοζάνης</v>
      </c>
    </row>
    <row r="95" spans="1:15" x14ac:dyDescent="0.25">
      <c r="A95" s="197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5" t="s">
        <v>673</v>
      </c>
      <c r="G95" s="195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7">
        <f t="shared" si="8"/>
        <v>128</v>
      </c>
      <c r="L95" t="str">
        <f t="shared" si="9"/>
        <v>ΔΥΤΙΚΗΣ ΜΑΚΕΔΟΝΙΑΣ</v>
      </c>
      <c r="M95" t="str">
        <f t="shared" si="10"/>
        <v>ΔΥΤΙΚΗΣ ΜΑΚΕΔΟΝΙΑΣ - ΦΛΩΡΙΝΑΣ</v>
      </c>
      <c r="N95" s="195">
        <f t="shared" si="12"/>
        <v>14520</v>
      </c>
      <c r="O95" s="195" t="str">
        <f t="shared" si="13"/>
        <v>Φλώρινας</v>
      </c>
    </row>
    <row r="96" spans="1:15" x14ac:dyDescent="0.25">
      <c r="A96" s="197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5" t="s">
        <v>674</v>
      </c>
      <c r="G96" s="195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7">
        <f t="shared" si="8"/>
        <v>129</v>
      </c>
      <c r="L96" t="str">
        <f t="shared" si="9"/>
        <v>ΗΠΕΙΡΟΥ</v>
      </c>
      <c r="M96" t="str">
        <f t="shared" si="10"/>
        <v>ΗΠΕΙΡΟΥ - ΑΡΤΑΙΩΝ</v>
      </c>
      <c r="N96" s="195">
        <f t="shared" si="12"/>
        <v>13998</v>
      </c>
      <c r="O96" s="195" t="str">
        <f t="shared" si="13"/>
        <v>Αρταίων</v>
      </c>
    </row>
    <row r="97" spans="1:15" x14ac:dyDescent="0.25">
      <c r="A97" s="197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5" t="s">
        <v>675</v>
      </c>
      <c r="G97" s="195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7">
        <f t="shared" si="8"/>
        <v>136</v>
      </c>
      <c r="L97" t="str">
        <f t="shared" si="9"/>
        <v>ΗΠΕΙΡΟΥ</v>
      </c>
      <c r="M97" t="str">
        <f t="shared" si="10"/>
        <v>ΗΠΕΙΡΟΥ - ΗΓΟΥΜΕΝΙΤΣΑΣ</v>
      </c>
      <c r="N97" s="195">
        <f t="shared" si="12"/>
        <v>14106</v>
      </c>
      <c r="O97" s="195" t="str">
        <f t="shared" si="13"/>
        <v>Ηγουμενίτσας</v>
      </c>
    </row>
    <row r="98" spans="1:15" x14ac:dyDescent="0.25">
      <c r="A98" s="197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5" t="s">
        <v>676</v>
      </c>
      <c r="G98" s="195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7">
        <f t="shared" si="8"/>
        <v>137</v>
      </c>
      <c r="L98" t="str">
        <f t="shared" si="9"/>
        <v>ΗΠΕΙΡΟΥ</v>
      </c>
      <c r="M98" t="str">
        <f t="shared" si="10"/>
        <v>ΗΠΕΙΡΟΥ - ΙΩΑΝΝΙΤΩΝ</v>
      </c>
      <c r="N98" s="195">
        <f t="shared" si="12"/>
        <v>14154</v>
      </c>
      <c r="O98" s="195" t="str">
        <f t="shared" si="13"/>
        <v>Ιωαννιτών</v>
      </c>
    </row>
    <row r="99" spans="1:15" x14ac:dyDescent="0.25">
      <c r="A99" s="197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5" t="s">
        <v>677</v>
      </c>
      <c r="G99" s="195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197">
        <f t="shared" si="8"/>
        <v>140</v>
      </c>
      <c r="L99" t="str">
        <f t="shared" si="9"/>
        <v>ΗΠΕΙΡΟΥ</v>
      </c>
      <c r="M99" t="str">
        <f t="shared" si="10"/>
        <v>ΗΠΕΙΡΟΥ - ΜΕΤΣΟΒΟΥ</v>
      </c>
      <c r="N99" s="195">
        <f t="shared" si="12"/>
        <v>14294</v>
      </c>
      <c r="O99" s="195" t="str">
        <f t="shared" si="13"/>
        <v>Μετσόβου</v>
      </c>
    </row>
    <row r="100" spans="1:15" x14ac:dyDescent="0.25">
      <c r="A100" s="197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5" t="s">
        <v>678</v>
      </c>
      <c r="G100" s="195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197">
        <f t="shared" si="8"/>
        <v>143</v>
      </c>
      <c r="L100" t="str">
        <f t="shared" si="9"/>
        <v>ΗΠΕΙΡΟΥ</v>
      </c>
      <c r="M100" t="str">
        <f t="shared" si="10"/>
        <v>ΗΠΕΙΡΟΥ - ΠΡΕΒΕΖΑΣ</v>
      </c>
      <c r="N100" s="195">
        <f t="shared" si="12"/>
        <v>14418</v>
      </c>
      <c r="O100" s="195" t="str">
        <f t="shared" si="13"/>
        <v>Πρέβεζας</v>
      </c>
    </row>
    <row r="101" spans="1:15" x14ac:dyDescent="0.25">
      <c r="A101" s="197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5" t="s">
        <v>679</v>
      </c>
      <c r="G101" s="195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Μερική</v>
      </c>
      <c r="J101" t="str">
        <f t="shared" si="11"/>
        <v/>
      </c>
      <c r="K101" s="197">
        <f t="shared" si="8"/>
        <v>148</v>
      </c>
      <c r="L101" t="str">
        <f t="shared" si="9"/>
        <v>ΘΕΣΣΑΛΙΑΣ</v>
      </c>
      <c r="M101" t="str">
        <f t="shared" si="10"/>
        <v>ΘΕΣΣΑΛΙΑΣ - ΑΛΜΥΡΟΥ</v>
      </c>
      <c r="N101" s="195">
        <f t="shared" si="12"/>
        <v>13958</v>
      </c>
      <c r="O101" s="195" t="str">
        <f t="shared" si="13"/>
        <v>Αλμυρού</v>
      </c>
    </row>
    <row r="102" spans="1:15" x14ac:dyDescent="0.25">
      <c r="A102" s="197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5" t="s">
        <v>680</v>
      </c>
      <c r="G102" s="195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Μερική</v>
      </c>
      <c r="J102" t="str">
        <f t="shared" si="11"/>
        <v/>
      </c>
      <c r="K102" s="197">
        <f t="shared" si="8"/>
        <v>151</v>
      </c>
      <c r="L102" t="str">
        <f t="shared" si="9"/>
        <v>ΘΕΣΣΑΛΙΑΣ</v>
      </c>
      <c r="M102" t="str">
        <f t="shared" si="10"/>
        <v>ΘΕΣΣΑΛΙΑΣ - ΒΟΛΟΥ</v>
      </c>
      <c r="N102" s="195">
        <f t="shared" si="12"/>
        <v>14034</v>
      </c>
      <c r="O102" s="195" t="str">
        <f t="shared" si="13"/>
        <v>Βόλου</v>
      </c>
    </row>
    <row r="103" spans="1:15" x14ac:dyDescent="0.25">
      <c r="A103" s="197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5" t="s">
        <v>681</v>
      </c>
      <c r="G103" s="195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Μερική</v>
      </c>
      <c r="J103" t="str">
        <f t="shared" si="11"/>
        <v/>
      </c>
      <c r="K103" s="197">
        <f t="shared" si="8"/>
        <v>155</v>
      </c>
      <c r="L103" t="str">
        <f t="shared" si="9"/>
        <v>ΘΕΣΣΑΛΙΑΣ</v>
      </c>
      <c r="M103" t="str">
        <f t="shared" si="10"/>
        <v>ΘΕΣΣΑΛΙΑΣ - ΚΑΡΔΙΤΣΑΣ</v>
      </c>
      <c r="N103" s="195">
        <f t="shared" si="12"/>
        <v>14188</v>
      </c>
      <c r="O103" s="195" t="str">
        <f t="shared" si="13"/>
        <v>Καρδίτσας</v>
      </c>
    </row>
    <row r="104" spans="1:15" x14ac:dyDescent="0.25">
      <c r="A104" s="197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5" t="s">
        <v>682</v>
      </c>
      <c r="G104" s="195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Μερική</v>
      </c>
      <c r="J104" t="str">
        <f t="shared" si="11"/>
        <v/>
      </c>
      <c r="K104" s="197">
        <f t="shared" si="8"/>
        <v>157</v>
      </c>
      <c r="L104" t="str">
        <f t="shared" si="9"/>
        <v>ΘΕΣΣΑΛΙΑΣ</v>
      </c>
      <c r="M104" t="str">
        <f t="shared" si="10"/>
        <v>ΘΕΣΣΑΛΙΑΣ - ΛΑΡΙΣΑΙΩΝ</v>
      </c>
      <c r="N104" s="195">
        <f t="shared" si="12"/>
        <v>14246</v>
      </c>
      <c r="O104" s="195" t="str">
        <f t="shared" si="13"/>
        <v>Λαρισαίων</v>
      </c>
    </row>
    <row r="105" spans="1:15" x14ac:dyDescent="0.25">
      <c r="A105" s="197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5" t="s">
        <v>683</v>
      </c>
      <c r="G105" s="195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Μερική</v>
      </c>
      <c r="J105" t="str">
        <f t="shared" si="11"/>
        <v/>
      </c>
      <c r="K105" s="197">
        <f t="shared" si="8"/>
        <v>168</v>
      </c>
      <c r="L105" t="str">
        <f t="shared" si="9"/>
        <v>ΘΕΣΣΑΛΙΑΣ</v>
      </c>
      <c r="M105" t="str">
        <f t="shared" si="10"/>
        <v>ΘΕΣΣΑΛΙΑΣ - ΤΡΙΚΚΑΙΩΝ</v>
      </c>
      <c r="N105" s="195">
        <f t="shared" si="12"/>
        <v>14494</v>
      </c>
      <c r="O105" s="195" t="str">
        <f t="shared" si="13"/>
        <v>Τρικκαίων</v>
      </c>
    </row>
    <row r="106" spans="1:15" x14ac:dyDescent="0.25">
      <c r="A106" s="197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5" t="s">
        <v>684</v>
      </c>
      <c r="G106" s="195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Μερική</v>
      </c>
      <c r="J106" t="str">
        <f t="shared" si="11"/>
        <v/>
      </c>
      <c r="K106" s="197">
        <f t="shared" si="8"/>
        <v>172</v>
      </c>
      <c r="L106" t="str">
        <f t="shared" si="9"/>
        <v>ΙΟΝΙΩΝ ΝΗΣΩΝ</v>
      </c>
      <c r="M106" t="str">
        <f t="shared" si="10"/>
        <v>ΙΟΝΙΩΝ ΝΗΣΩΝ - ΖΑΚΥΝΘΟΥ</v>
      </c>
      <c r="N106" s="195">
        <f t="shared" si="12"/>
        <v>14108</v>
      </c>
      <c r="O106" s="195" t="str">
        <f t="shared" si="13"/>
        <v>Ζακύνθου</v>
      </c>
    </row>
    <row r="107" spans="1:15" x14ac:dyDescent="0.25">
      <c r="A107" s="197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5" t="s">
        <v>685</v>
      </c>
      <c r="G107" s="195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Μερική</v>
      </c>
      <c r="J107" t="str">
        <f t="shared" si="11"/>
        <v/>
      </c>
      <c r="K107" s="197">
        <f t="shared" si="8"/>
        <v>174</v>
      </c>
      <c r="L107" t="str">
        <f t="shared" si="9"/>
        <v>ΙΟΝΙΩΝ ΝΗΣΩΝ</v>
      </c>
      <c r="M107" t="str">
        <f t="shared" si="10"/>
        <v>ΙΟΝΙΩΝ ΝΗΣΩΝ - ΚΕΡΚΥΡΑΣ</v>
      </c>
      <c r="N107" s="195">
        <f t="shared" si="12"/>
        <v>14206</v>
      </c>
      <c r="O107" s="195" t="str">
        <f t="shared" si="13"/>
        <v>Κέρκυρας</v>
      </c>
    </row>
    <row r="108" spans="1:15" x14ac:dyDescent="0.25">
      <c r="A108" s="197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5" t="s">
        <v>686</v>
      </c>
      <c r="G108" s="195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Μερική</v>
      </c>
      <c r="J108" t="str">
        <f t="shared" si="11"/>
        <v/>
      </c>
      <c r="K108" s="197">
        <f t="shared" si="8"/>
        <v>175</v>
      </c>
      <c r="L108" t="str">
        <f t="shared" si="9"/>
        <v>ΙΟΝΙΩΝ ΝΗΣΩΝ</v>
      </c>
      <c r="M108" t="str">
        <f t="shared" si="10"/>
        <v>ΙΟΝΙΩΝ ΝΗΣΩΝ - ΚΕΦΑΛΟΝΙΑΣ</v>
      </c>
      <c r="N108" s="195">
        <f t="shared" si="12"/>
        <v>14208</v>
      </c>
      <c r="O108" s="195" t="str">
        <f t="shared" si="13"/>
        <v>Κεφαλονιάς</v>
      </c>
    </row>
    <row r="109" spans="1:15" x14ac:dyDescent="0.25">
      <c r="A109" s="197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5" t="s">
        <v>687</v>
      </c>
      <c r="G109" s="195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197">
        <f t="shared" si="8"/>
        <v>176</v>
      </c>
      <c r="L109" t="str">
        <f t="shared" si="9"/>
        <v>ΙΟΝΙΩΝ ΝΗΣΩΝ</v>
      </c>
      <c r="M109" t="str">
        <f t="shared" si="10"/>
        <v>ΙΟΝΙΩΝ ΝΗΣΩΝ - ΛΕΥΚΑΔΑΣ</v>
      </c>
      <c r="N109" s="195">
        <f t="shared" si="12"/>
        <v>14238</v>
      </c>
      <c r="O109" s="195" t="str">
        <f t="shared" si="13"/>
        <v>Λευκάδας</v>
      </c>
    </row>
    <row r="110" spans="1:15" x14ac:dyDescent="0.25">
      <c r="A110" s="197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5" t="s">
        <v>688</v>
      </c>
      <c r="G110" s="195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Μερική</v>
      </c>
      <c r="J110" t="str">
        <f t="shared" si="11"/>
        <v/>
      </c>
      <c r="K110" s="197">
        <f t="shared" si="8"/>
        <v>181</v>
      </c>
      <c r="L110" t="str">
        <f t="shared" si="9"/>
        <v>ΚΕΝΤΡΙΚΗΣ ΜΑΚΕΔΟΝΙΑΣ</v>
      </c>
      <c r="M110" t="str">
        <f t="shared" si="10"/>
        <v>ΚΕΝΤΡΙΚΗΣ ΜΑΚΕΔΟΝΙΑΣ - ΑΜΠΕΛΟΚΗΠΩΝ – ΜΕΝΕΜΕΝΗΣ</v>
      </c>
      <c r="N110" s="195">
        <f t="shared" si="12"/>
        <v>13968</v>
      </c>
      <c r="O110" s="195" t="str">
        <f t="shared" si="13"/>
        <v>Αμπελοκήπων - Μενεμένης</v>
      </c>
    </row>
    <row r="111" spans="1:15" x14ac:dyDescent="0.25">
      <c r="A111" s="197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5" t="s">
        <v>689</v>
      </c>
      <c r="G111" s="195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Μερική</v>
      </c>
      <c r="J111" t="str">
        <f t="shared" si="11"/>
        <v/>
      </c>
      <c r="K111" s="197">
        <f t="shared" si="8"/>
        <v>182</v>
      </c>
      <c r="L111" t="str">
        <f t="shared" si="9"/>
        <v>ΚΕΝΤΡΙΚΗΣ ΜΑΚΕΔΟΝΙΑΣ</v>
      </c>
      <c r="M111" t="str">
        <f t="shared" si="10"/>
        <v>ΚΕΝΤΡΙΚΗΣ ΜΑΚΕΔΟΝΙΑΣ - ΑΜΦΙΠΟΛΗΣ</v>
      </c>
      <c r="N111" s="195">
        <f t="shared" si="12"/>
        <v>13976</v>
      </c>
      <c r="O111" s="195" t="str">
        <f t="shared" si="13"/>
        <v>Αμφίπολης</v>
      </c>
    </row>
    <row r="112" spans="1:15" x14ac:dyDescent="0.25">
      <c r="A112" s="197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5" t="s">
        <v>690</v>
      </c>
      <c r="G112" s="195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Μερική</v>
      </c>
      <c r="J112" t="str">
        <f t="shared" si="11"/>
        <v/>
      </c>
      <c r="K112" s="197">
        <f t="shared" si="8"/>
        <v>183</v>
      </c>
      <c r="L112" t="str">
        <f t="shared" si="9"/>
        <v>ΚΕΝΤΡΙΚΗΣ ΜΑΚΕΔΟΝΙΑΣ</v>
      </c>
      <c r="M112" t="str">
        <f t="shared" si="10"/>
        <v>ΚΕΝΤΡΙΚΗΣ ΜΑΚΕΔΟΝΙΑΣ - ΑΡΙΣΤΟΤΕΛΗ</v>
      </c>
      <c r="N112" s="195">
        <f t="shared" si="12"/>
        <v>13996</v>
      </c>
      <c r="O112" s="195" t="str">
        <f t="shared" si="13"/>
        <v>Αριστοτέλη</v>
      </c>
    </row>
    <row r="113" spans="1:15" x14ac:dyDescent="0.25">
      <c r="A113" s="197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5" t="s">
        <v>691</v>
      </c>
      <c r="G113" s="195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Μερική</v>
      </c>
      <c r="J113" t="str">
        <f t="shared" si="11"/>
        <v/>
      </c>
      <c r="K113" s="197">
        <f t="shared" si="8"/>
        <v>184</v>
      </c>
      <c r="L113" t="str">
        <f t="shared" si="9"/>
        <v>ΚΕΝΤΡΙΚΗΣ ΜΑΚΕΔΟΝΙΑΣ</v>
      </c>
      <c r="M113" t="str">
        <f t="shared" si="10"/>
        <v>ΚΕΝΤΡΙΚΗΣ ΜΑΚΕΔΟΝΙΑΣ - ΒΕΡΟΙΑΣ</v>
      </c>
      <c r="N113" s="195">
        <f t="shared" si="12"/>
        <v>14014</v>
      </c>
      <c r="O113" s="195" t="str">
        <f t="shared" si="13"/>
        <v>Βέροιας</v>
      </c>
    </row>
    <row r="114" spans="1:15" x14ac:dyDescent="0.25">
      <c r="A114" s="197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5" t="s">
        <v>692</v>
      </c>
      <c r="G114" s="195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197">
        <f t="shared" si="8"/>
        <v>185</v>
      </c>
      <c r="L114" t="str">
        <f t="shared" si="9"/>
        <v>ΚΕΝΤΡΙΚΗΣ ΜΑΚΕΔΟΝΙΑΣ</v>
      </c>
      <c r="M114" t="str">
        <f t="shared" si="10"/>
        <v>ΚΕΝΤΡΙΚΗΣ ΜΑΚΕΔΟΝΙΑΣ - ΒΙΣΑΛΤΙΑΣ</v>
      </c>
      <c r="N114" s="195">
        <f t="shared" si="12"/>
        <v>14018</v>
      </c>
      <c r="O114" s="195" t="str">
        <f t="shared" si="13"/>
        <v>Βισαλτίας</v>
      </c>
    </row>
    <row r="115" spans="1:15" x14ac:dyDescent="0.25">
      <c r="A115" s="197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5" t="s">
        <v>693</v>
      </c>
      <c r="G115" s="195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197">
        <f t="shared" si="8"/>
        <v>186</v>
      </c>
      <c r="L115" t="str">
        <f t="shared" si="9"/>
        <v>ΚΕΝΤΡΙΚΗΣ ΜΑΚΕΔΟΝΙΑΣ</v>
      </c>
      <c r="M115" t="str">
        <f t="shared" si="10"/>
        <v>ΚΕΝΤΡΙΚΗΣ ΜΑΚΕΔΟΝΙΑΣ - ΒΟΛΒΗΣ</v>
      </c>
      <c r="N115" s="195">
        <f t="shared" si="12"/>
        <v>14030</v>
      </c>
      <c r="O115" s="195" t="str">
        <f t="shared" si="13"/>
        <v>Βόλβης</v>
      </c>
    </row>
    <row r="116" spans="1:15" x14ac:dyDescent="0.25">
      <c r="A116" s="197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5" t="s">
        <v>694</v>
      </c>
      <c r="G116" s="195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Μερική</v>
      </c>
      <c r="J116" t="str">
        <f t="shared" si="11"/>
        <v/>
      </c>
      <c r="K116" s="197">
        <f t="shared" si="8"/>
        <v>187</v>
      </c>
      <c r="L116" t="str">
        <f t="shared" si="9"/>
        <v>ΚΕΝΤΡΙΚΗΣ ΜΑΚΕΔΟΝΙΑΣ</v>
      </c>
      <c r="M116" t="str">
        <f t="shared" si="10"/>
        <v>ΚΕΝΤΡΙΚΗΣ ΜΑΚΕΔΟΝΙΑΣ - ΔΕΛΤΑ</v>
      </c>
      <c r="N116" s="195">
        <f t="shared" si="12"/>
        <v>14050</v>
      </c>
      <c r="O116" s="195" t="str">
        <f t="shared" si="13"/>
        <v>Δέλτα</v>
      </c>
    </row>
    <row r="117" spans="1:15" x14ac:dyDescent="0.25">
      <c r="A117" s="197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5" t="s">
        <v>695</v>
      </c>
      <c r="G117" s="195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197">
        <f t="shared" si="8"/>
        <v>189</v>
      </c>
      <c r="L117" t="str">
        <f t="shared" si="9"/>
        <v>ΚΕΝΤΡΙΚΗΣ ΜΑΚΕΔΟΝΙΑΣ</v>
      </c>
      <c r="M117" t="str">
        <f t="shared" si="10"/>
        <v>ΚΕΝΤΡΙΚΗΣ ΜΑΚΕΔΟΝΙΑΣ - ΕΔΕΣΣΑΣ</v>
      </c>
      <c r="N117" s="195">
        <f t="shared" si="12"/>
        <v>14080</v>
      </c>
      <c r="O117" s="195" t="str">
        <f t="shared" si="13"/>
        <v>Έδεσσας</v>
      </c>
    </row>
    <row r="118" spans="1:15" x14ac:dyDescent="0.25">
      <c r="A118" s="197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5" t="s">
        <v>696</v>
      </c>
      <c r="G118" s="195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Μερική</v>
      </c>
      <c r="J118" t="str">
        <f t="shared" si="11"/>
        <v/>
      </c>
      <c r="K118" s="197">
        <f t="shared" si="8"/>
        <v>190</v>
      </c>
      <c r="L118" t="str">
        <f t="shared" si="9"/>
        <v>ΚΕΝΤΡΙΚΗΣ ΜΑΚΕΔΟΝΙΑΣ</v>
      </c>
      <c r="M118" t="str">
        <f t="shared" si="10"/>
        <v>ΚΕΝΤΡΙΚΗΣ ΜΑΚΕΔΟΝΙΑΣ - ΕΜΜΑΝΟΥΗΛ ΠΑΠΠΑ</v>
      </c>
      <c r="N118" s="195">
        <f t="shared" si="12"/>
        <v>14088</v>
      </c>
      <c r="O118" s="195" t="str">
        <f t="shared" si="13"/>
        <v>Εμμανουήλ Παππά</v>
      </c>
    </row>
    <row r="119" spans="1:15" x14ac:dyDescent="0.25">
      <c r="A119" s="197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5" t="s">
        <v>697</v>
      </c>
      <c r="G119" s="195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Μερική</v>
      </c>
      <c r="J119" t="str">
        <f t="shared" si="11"/>
        <v/>
      </c>
      <c r="K119" s="197">
        <f t="shared" si="8"/>
        <v>191</v>
      </c>
      <c r="L119" t="str">
        <f t="shared" si="9"/>
        <v>ΚΕΝΤΡΙΚΗΣ ΜΑΚΕΔΟΝΙΑΣ</v>
      </c>
      <c r="M119" t="str">
        <f t="shared" si="10"/>
        <v>ΚΕΝΤΡΙΚΗΣ ΜΑΚΕΔΟΝΙΑΣ - ΗΡΑΚΛΕΙΑΣ</v>
      </c>
      <c r="N119" s="195">
        <f t="shared" si="12"/>
        <v>13914</v>
      </c>
      <c r="O119" s="195" t="str">
        <f t="shared" si="13"/>
        <v>Ηρακλείας</v>
      </c>
    </row>
    <row r="120" spans="1:15" x14ac:dyDescent="0.25">
      <c r="A120" s="197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5" t="s">
        <v>698</v>
      </c>
      <c r="G120" s="195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197">
        <f t="shared" si="8"/>
        <v>192</v>
      </c>
      <c r="L120" t="str">
        <f t="shared" si="9"/>
        <v>ΚΕΝΤΡΙΚΗΣ ΜΑΚΕΔΟΝΙΑΣ</v>
      </c>
      <c r="M120" t="str">
        <f t="shared" si="10"/>
        <v>ΚΕΝΤΡΙΚΗΣ ΜΑΚΕΔΟΝΙΑΣ - ΘΕΡΜΑΪΚΟΥ</v>
      </c>
      <c r="N120" s="195">
        <f t="shared" si="12"/>
        <v>14126</v>
      </c>
      <c r="O120" s="195" t="str">
        <f t="shared" si="13"/>
        <v>Θερμαϊκού</v>
      </c>
    </row>
    <row r="121" spans="1:15" x14ac:dyDescent="0.25">
      <c r="A121" s="197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5" t="s">
        <v>699</v>
      </c>
      <c r="G121" s="195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197">
        <f t="shared" si="8"/>
        <v>193</v>
      </c>
      <c r="L121" t="str">
        <f t="shared" si="9"/>
        <v>ΚΕΝΤΡΙΚΗΣ ΜΑΚΕΔΟΝΙΑΣ</v>
      </c>
      <c r="M121" t="str">
        <f t="shared" si="10"/>
        <v>ΚΕΝΤΡΙΚΗΣ ΜΑΚΕΔΟΝΙΑΣ - ΘΕΡΜΗΣ</v>
      </c>
      <c r="N121" s="195">
        <f t="shared" si="12"/>
        <v>14128</v>
      </c>
      <c r="O121" s="195" t="str">
        <f t="shared" si="13"/>
        <v>Θέρμης</v>
      </c>
    </row>
    <row r="122" spans="1:15" x14ac:dyDescent="0.25">
      <c r="A122" s="197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5" t="s">
        <v>700</v>
      </c>
      <c r="G122" s="195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197">
        <f t="shared" si="8"/>
        <v>194</v>
      </c>
      <c r="L122" t="str">
        <f t="shared" si="9"/>
        <v>ΚΕΝΤΡΙΚΗΣ ΜΑΚΕΔΟΝΙΑΣ</v>
      </c>
      <c r="M122" t="str">
        <f t="shared" si="10"/>
        <v>ΚΕΝΤΡΙΚΗΣ ΜΑΚΕΔΟΝΙΑΣ - ΘΕΣΣΑΛΟΝΙΚΗΣ</v>
      </c>
      <c r="N122" s="195">
        <f t="shared" si="12"/>
        <v>14130</v>
      </c>
      <c r="O122" s="195" t="str">
        <f t="shared" si="13"/>
        <v>Θεσσαλονίκης</v>
      </c>
    </row>
    <row r="123" spans="1:15" x14ac:dyDescent="0.25">
      <c r="A123" s="197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5" t="s">
        <v>701</v>
      </c>
      <c r="G123" s="195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197">
        <f t="shared" si="8"/>
        <v>195</v>
      </c>
      <c r="L123" t="str">
        <f t="shared" si="9"/>
        <v>ΚΕΝΤΡΙΚΗΣ ΜΑΚΕΔΟΝΙΑΣ</v>
      </c>
      <c r="M123" t="str">
        <f t="shared" si="10"/>
        <v>ΚΕΝΤΡΙΚΗΣ ΜΑΚΕΔΟΝΙΑΣ - ΚΑΛΑΜΑΡΙΑΣ</v>
      </c>
      <c r="N123" s="195">
        <f t="shared" si="12"/>
        <v>14176</v>
      </c>
      <c r="O123" s="195" t="str">
        <f t="shared" si="13"/>
        <v>Καλαμαριάς</v>
      </c>
    </row>
    <row r="124" spans="1:15" x14ac:dyDescent="0.25">
      <c r="A124" s="197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5" t="s">
        <v>702</v>
      </c>
      <c r="G124" s="195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197">
        <f t="shared" si="8"/>
        <v>196</v>
      </c>
      <c r="L124" t="str">
        <f t="shared" si="9"/>
        <v>ΚΕΝΤΡΙΚΗΣ ΜΑΚΕΔΟΝΙΑΣ</v>
      </c>
      <c r="M124" t="str">
        <f t="shared" si="10"/>
        <v>ΚΕΝΤΡΙΚΗΣ ΜΑΚΕΔΟΝΙΑΣ - ΚΑΣΣΑΝΔΡΑΣ</v>
      </c>
      <c r="N124" s="195">
        <f t="shared" si="12"/>
        <v>14192</v>
      </c>
      <c r="O124" s="195" t="str">
        <f t="shared" si="13"/>
        <v>Κασσάνδρας</v>
      </c>
    </row>
    <row r="125" spans="1:15" x14ac:dyDescent="0.25">
      <c r="A125" s="197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5" t="s">
        <v>703</v>
      </c>
      <c r="G125" s="195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197">
        <f t="shared" si="8"/>
        <v>197</v>
      </c>
      <c r="L125" t="str">
        <f t="shared" si="9"/>
        <v>ΚΕΝΤΡΙΚΗΣ ΜΑΚΕΔΟΝΙΑΣ</v>
      </c>
      <c r="M125" t="str">
        <f t="shared" si="10"/>
        <v>ΚΕΝΤΡΙΚΗΣ ΜΑΚΕΔΟΝΙΑΣ - ΚΑΤΕΡΙΝΗΣ</v>
      </c>
      <c r="N125" s="195">
        <f t="shared" si="12"/>
        <v>14200</v>
      </c>
      <c r="O125" s="195" t="str">
        <f t="shared" si="13"/>
        <v>Κατερίνης</v>
      </c>
    </row>
    <row r="126" spans="1:15" x14ac:dyDescent="0.25">
      <c r="A126" s="197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5" t="s">
        <v>704</v>
      </c>
      <c r="G126" s="195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Μερική</v>
      </c>
      <c r="J126" t="str">
        <f t="shared" si="11"/>
        <v/>
      </c>
      <c r="K126" s="197">
        <f t="shared" si="8"/>
        <v>198</v>
      </c>
      <c r="L126" t="str">
        <f t="shared" si="9"/>
        <v>ΚΕΝΤΡΙΚΗΣ ΜΑΚΕΔΟΝΙΑΣ</v>
      </c>
      <c r="M126" t="str">
        <f t="shared" si="10"/>
        <v>ΚΕΝΤΡΙΚΗΣ ΜΑΚΕΔΟΝΙΑΣ - ΚΙΛΚΙΣ</v>
      </c>
      <c r="N126" s="195">
        <f t="shared" si="12"/>
        <v>14212</v>
      </c>
      <c r="O126" s="195" t="str">
        <f t="shared" si="13"/>
        <v>Κιλκίς</v>
      </c>
    </row>
    <row r="127" spans="1:15" x14ac:dyDescent="0.25">
      <c r="A127" s="197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5" t="s">
        <v>705</v>
      </c>
      <c r="G127" s="195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Μερική</v>
      </c>
      <c r="J127" t="str">
        <f t="shared" si="11"/>
        <v/>
      </c>
      <c r="K127" s="197">
        <f t="shared" si="8"/>
        <v>199</v>
      </c>
      <c r="L127" t="str">
        <f t="shared" si="9"/>
        <v>ΚΕΝΤΡΙΚΗΣ ΜΑΚΕΔΟΝΙΑΣ</v>
      </c>
      <c r="M127" t="str">
        <f t="shared" si="10"/>
        <v>ΚΕΝΤΡΙΚΗΣ ΜΑΚΕΔΟΝΙΑΣ - ΚΟΡΔΕΛΙΟΥ – ΕΥΟΣΜΟΥ</v>
      </c>
      <c r="N127" s="195">
        <f t="shared" si="12"/>
        <v>14224</v>
      </c>
      <c r="O127" s="195" t="str">
        <f t="shared" si="13"/>
        <v>Κορδελιού - Ευόσμου</v>
      </c>
    </row>
    <row r="128" spans="1:15" x14ac:dyDescent="0.25">
      <c r="A128" s="197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5" t="s">
        <v>706</v>
      </c>
      <c r="G128" s="195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Μερική</v>
      </c>
      <c r="J128" t="str">
        <f t="shared" si="11"/>
        <v/>
      </c>
      <c r="K128" s="197">
        <f t="shared" si="8"/>
        <v>200</v>
      </c>
      <c r="L128" t="str">
        <f t="shared" si="9"/>
        <v>ΚΕΝΤΡΙΚΗΣ ΜΑΚΕΔΟΝΙΑΣ</v>
      </c>
      <c r="M128" t="str">
        <f t="shared" si="10"/>
        <v>ΚΕΝΤΡΙΚΗΣ ΜΑΚΕΔΟΝΙΑΣ - ΛΑΓΚΑΔΑ</v>
      </c>
      <c r="N128" s="195">
        <f t="shared" si="12"/>
        <v>14172</v>
      </c>
      <c r="O128" s="195" t="str">
        <f t="shared" si="13"/>
        <v>Λαγκαδά</v>
      </c>
    </row>
    <row r="129" spans="1:15" x14ac:dyDescent="0.25">
      <c r="A129" s="197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5" t="s">
        <v>707</v>
      </c>
      <c r="G129" s="195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197">
        <f t="shared" si="8"/>
        <v>201</v>
      </c>
      <c r="L129" t="str">
        <f t="shared" si="9"/>
        <v>ΚΕΝΤΡΙΚΗΣ ΜΑΚΕΔΟΝΙΑΣ</v>
      </c>
      <c r="M129" t="str">
        <f t="shared" si="10"/>
        <v>ΚΕΝΤΡΙΚΗΣ ΜΑΚΕΔΟΝΙΑΣ - ΝΑΟΥΣΑΣ</v>
      </c>
      <c r="N129" s="195">
        <f t="shared" si="12"/>
        <v>14272</v>
      </c>
      <c r="O129" s="195" t="str">
        <f t="shared" si="13"/>
        <v>Νάουσας</v>
      </c>
    </row>
    <row r="130" spans="1:15" x14ac:dyDescent="0.25">
      <c r="A130" s="197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5" t="s">
        <v>708</v>
      </c>
      <c r="G130" s="195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197">
        <f t="shared" ref="K130:K193" si="15">SMALL(J:J,A130)</f>
        <v>202</v>
      </c>
      <c r="L130" t="str">
        <f t="shared" ref="L130:L193" si="16">IF(ISNUMBER(K130),LOOKUP(K130,A:A,B:B),"")</f>
        <v>ΚΕΝΤΡΙΚΗΣ ΜΑΚΕΔΟΝΙΑΣ</v>
      </c>
      <c r="M130" t="str">
        <f t="shared" ref="M130:M193" si="17">IF(ISNUMBER(K130),LOOKUP(K130,A:A,B:B)&amp;" - "&amp;LOOKUP(K130,A:A,D:D),"")</f>
        <v>ΚΕΝΤΡΙΚΗΣ ΜΑΚΕΔΟΝΙΑΣ - ΝΕΑΠΟΛΗΣ – ΣΥΚΕΩΝ</v>
      </c>
      <c r="N130" s="195">
        <f t="shared" si="12"/>
        <v>14332</v>
      </c>
      <c r="O130" s="195" t="str">
        <f t="shared" si="13"/>
        <v>Νέαπολης - Συκεών</v>
      </c>
    </row>
    <row r="131" spans="1:15" x14ac:dyDescent="0.25">
      <c r="A131" s="197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5" t="s">
        <v>709</v>
      </c>
      <c r="G131" s="195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197">
        <f t="shared" si="15"/>
        <v>203</v>
      </c>
      <c r="L131" t="str">
        <f t="shared" si="16"/>
        <v>ΚΕΝΤΡΙΚΗΣ ΜΑΚΕΔΟΝΙΑΣ</v>
      </c>
      <c r="M131" t="str">
        <f t="shared" si="17"/>
        <v>ΚΕΝΤΡΙΚΗΣ ΜΑΚΕΔΟΝΙΑΣ - ΝΕΑΣ ΖΙΧΝΗΣ</v>
      </c>
      <c r="N131" s="195">
        <f t="shared" ref="N131:N194" si="19">IF(ISNUMBER(K131),LOOKUP(K131,A:A,G:G),"")</f>
        <v>14334</v>
      </c>
      <c r="O131" s="195" t="str">
        <f t="shared" ref="O131:O194" si="20">IF(ISNUMBER(K131),LOOKUP(K131,A:A,F:F),"")</f>
        <v>Νέας Ζίχνης</v>
      </c>
    </row>
    <row r="132" spans="1:15" x14ac:dyDescent="0.25">
      <c r="A132" s="197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5" t="s">
        <v>710</v>
      </c>
      <c r="G132" s="195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Μερική</v>
      </c>
      <c r="J132" t="str">
        <f t="shared" si="18"/>
        <v/>
      </c>
      <c r="K132" s="197">
        <f t="shared" si="15"/>
        <v>204</v>
      </c>
      <c r="L132" t="str">
        <f t="shared" si="16"/>
        <v>ΚΕΝΤΡΙΚΗΣ ΜΑΚΕΔΟΝΙΑΣ</v>
      </c>
      <c r="M132" t="str">
        <f t="shared" si="17"/>
        <v>ΚΕΝΤΡΙΚΗΣ ΜΑΚΕΔΟΝΙΑΣ - ΝΕΑΣ ΠΡΟΠΟΝΤΙΔΑΣ</v>
      </c>
      <c r="N132" s="195">
        <f t="shared" si="19"/>
        <v>14318</v>
      </c>
      <c r="O132" s="195" t="str">
        <f t="shared" si="20"/>
        <v>Νέας Προποντίδας</v>
      </c>
    </row>
    <row r="133" spans="1:15" x14ac:dyDescent="0.25">
      <c r="A133" s="197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5" t="s">
        <v>711</v>
      </c>
      <c r="G133" s="195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Μερική</v>
      </c>
      <c r="J133" t="str">
        <f t="shared" si="18"/>
        <v/>
      </c>
      <c r="K133" s="197">
        <f t="shared" si="15"/>
        <v>205</v>
      </c>
      <c r="L133" t="str">
        <f t="shared" si="16"/>
        <v>ΚΕΝΤΡΙΚΗΣ ΜΑΚΕΔΟΝΙΑΣ</v>
      </c>
      <c r="M133" t="str">
        <f t="shared" si="17"/>
        <v>ΚΕΝΤΡΙΚΗΣ ΜΑΚΕΔΟΝΙΑΣ - ΠΑΙΟΝΙΑΣ</v>
      </c>
      <c r="N133" s="195">
        <f t="shared" si="19"/>
        <v>14384</v>
      </c>
      <c r="O133" s="195" t="str">
        <f t="shared" si="20"/>
        <v>Παιονίας</v>
      </c>
    </row>
    <row r="134" spans="1:15" x14ac:dyDescent="0.25">
      <c r="A134" s="197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5" t="s">
        <v>712</v>
      </c>
      <c r="G134" s="195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197">
        <f t="shared" si="15"/>
        <v>206</v>
      </c>
      <c r="L134" t="str">
        <f t="shared" si="16"/>
        <v>ΚΕΝΤΡΙΚΗΣ ΜΑΚΕΔΟΝΙΑΣ</v>
      </c>
      <c r="M134" t="str">
        <f t="shared" si="17"/>
        <v>ΚΕΝΤΡΙΚΗΣ ΜΑΚΕΔΟΝΙΑΣ - ΠΑΥΛΟΥ ΜΕΛΑ</v>
      </c>
      <c r="N134" s="195">
        <f t="shared" si="19"/>
        <v>14368</v>
      </c>
      <c r="O134" s="195" t="str">
        <f t="shared" si="20"/>
        <v>Παύλου Μελά</v>
      </c>
    </row>
    <row r="135" spans="1:15" x14ac:dyDescent="0.25">
      <c r="A135" s="197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5" t="s">
        <v>713</v>
      </c>
      <c r="G135" s="195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Μερική</v>
      </c>
      <c r="J135" t="str">
        <f t="shared" si="18"/>
        <v/>
      </c>
      <c r="K135" s="197">
        <f t="shared" si="15"/>
        <v>207</v>
      </c>
      <c r="L135" t="str">
        <f t="shared" si="16"/>
        <v>ΚΕΝΤΡΙΚΗΣ ΜΑΚΕΔΟΝΙΑΣ</v>
      </c>
      <c r="M135" t="str">
        <f t="shared" si="17"/>
        <v>ΚΕΝΤΡΙΚΗΣ ΜΑΚΕΔΟΝΙΑΣ - ΠΕΛΛΑΣ</v>
      </c>
      <c r="N135" s="195">
        <f t="shared" si="19"/>
        <v>14382</v>
      </c>
      <c r="O135" s="195" t="str">
        <f t="shared" si="20"/>
        <v>Πέλλας</v>
      </c>
    </row>
    <row r="136" spans="1:15" x14ac:dyDescent="0.25">
      <c r="A136" s="197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5" t="s">
        <v>714</v>
      </c>
      <c r="G136" s="195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Μερική</v>
      </c>
      <c r="J136" t="str">
        <f t="shared" si="18"/>
        <v/>
      </c>
      <c r="K136" s="197">
        <f t="shared" si="15"/>
        <v>208</v>
      </c>
      <c r="L136" t="str">
        <f t="shared" si="16"/>
        <v>ΚΕΝΤΡΙΚΗΣ ΜΑΚΕΔΟΝΙΑΣ</v>
      </c>
      <c r="M136" t="str">
        <f t="shared" si="17"/>
        <v>ΚΕΝΤΡΙΚΗΣ ΜΑΚΕΔΟΝΙΑΣ - ΠΟΛΥΓΥΡΟΥ</v>
      </c>
      <c r="N136" s="195">
        <f t="shared" si="19"/>
        <v>14414</v>
      </c>
      <c r="O136" s="195" t="str">
        <f t="shared" si="20"/>
        <v>Πολυγύρου</v>
      </c>
    </row>
    <row r="137" spans="1:15" x14ac:dyDescent="0.25">
      <c r="A137" s="197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5" t="s">
        <v>715</v>
      </c>
      <c r="G137" s="195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197">
        <f t="shared" si="15"/>
        <v>210</v>
      </c>
      <c r="L137" t="str">
        <f t="shared" si="16"/>
        <v>ΚΕΝΤΡΙΚΗΣ ΜΑΚΕΔΟΝΙΑΣ</v>
      </c>
      <c r="M137" t="str">
        <f t="shared" si="17"/>
        <v>ΚΕΝΤΡΙΚΗΣ ΜΑΚΕΔΟΝΙΑΣ - ΠΥΛΑΙΑΣ – ΧΟΡΤΙΑΤΗ</v>
      </c>
      <c r="N137" s="195">
        <f t="shared" si="19"/>
        <v>14424</v>
      </c>
      <c r="O137" s="195" t="str">
        <f t="shared" si="20"/>
        <v>Πυλαίας - Χορτιάτη</v>
      </c>
    </row>
    <row r="138" spans="1:15" x14ac:dyDescent="0.25">
      <c r="A138" s="197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5" t="s">
        <v>716</v>
      </c>
      <c r="G138" s="195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197">
        <f t="shared" si="15"/>
        <v>211</v>
      </c>
      <c r="L138" t="str">
        <f t="shared" si="16"/>
        <v>ΚΕΝΤΡΙΚΗΣ ΜΑΚΕΔΟΝΙΑΣ</v>
      </c>
      <c r="M138" t="str">
        <f t="shared" si="17"/>
        <v>ΚΕΝΤΡΙΚΗΣ ΜΑΚΕΔΟΝΙΑΣ - ΣΕΡΡΩΝ</v>
      </c>
      <c r="N138" s="195">
        <f t="shared" si="19"/>
        <v>14454</v>
      </c>
      <c r="O138" s="195" t="str">
        <f t="shared" si="20"/>
        <v>Σερρών</v>
      </c>
    </row>
    <row r="139" spans="1:15" x14ac:dyDescent="0.25">
      <c r="A139" s="197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5" t="s">
        <v>717</v>
      </c>
      <c r="G139" s="195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197">
        <f t="shared" si="15"/>
        <v>212</v>
      </c>
      <c r="L139" t="str">
        <f t="shared" si="16"/>
        <v>ΚΕΝΤΡΙΚΗΣ ΜΑΚΕΔΟΝΙΑΣ</v>
      </c>
      <c r="M139" t="str">
        <f t="shared" si="17"/>
        <v>ΚΕΝΤΡΙΚΗΣ ΜΑΚΕΔΟΝΙΑΣ - ΣΙΘΩΝΙΑΣ</v>
      </c>
      <c r="N139" s="195">
        <f t="shared" si="19"/>
        <v>14456</v>
      </c>
      <c r="O139" s="195" t="str">
        <f t="shared" si="20"/>
        <v>Σιθωνίας</v>
      </c>
    </row>
    <row r="140" spans="1:15" x14ac:dyDescent="0.25">
      <c r="A140" s="197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5" t="s">
        <v>718</v>
      </c>
      <c r="G140" s="195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197">
        <f t="shared" si="15"/>
        <v>213</v>
      </c>
      <c r="L140" t="str">
        <f t="shared" si="16"/>
        <v>ΚΕΝΤΡΙΚΗΣ ΜΑΚΕΔΟΝΙΑΣ</v>
      </c>
      <c r="M140" t="str">
        <f t="shared" si="17"/>
        <v>ΚΕΝΤΡΙΚΗΣ ΜΑΚΕΔΟΝΙΑΣ - ΣΙΝΤΙΚΗΣ</v>
      </c>
      <c r="N140" s="195">
        <f t="shared" si="19"/>
        <v>14462</v>
      </c>
      <c r="O140" s="195" t="str">
        <f t="shared" si="20"/>
        <v>Σιντικής</v>
      </c>
    </row>
    <row r="141" spans="1:15" x14ac:dyDescent="0.25">
      <c r="A141" s="197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5" t="s">
        <v>719</v>
      </c>
      <c r="G141" s="195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197">
        <f t="shared" si="15"/>
        <v>215</v>
      </c>
      <c r="L141" t="str">
        <f t="shared" si="16"/>
        <v>ΚΕΝΤΡΙΚΗΣ ΜΑΚΕΔΟΝΙΑΣ</v>
      </c>
      <c r="M141" t="str">
        <f t="shared" si="17"/>
        <v>ΚΕΝΤΡΙΚΗΣ ΜΑΚΕΔΟΝΙΑΣ - ΧΑΛΚΗΔΟΝΟΣ</v>
      </c>
      <c r="N141" s="195">
        <f t="shared" si="19"/>
        <v>14544</v>
      </c>
      <c r="O141" s="195" t="str">
        <f t="shared" si="20"/>
        <v>Χαλκηδόνος</v>
      </c>
    </row>
    <row r="142" spans="1:15" x14ac:dyDescent="0.25">
      <c r="A142" s="197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5" t="s">
        <v>720</v>
      </c>
      <c r="G142" s="195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Μερική</v>
      </c>
      <c r="J142" t="str">
        <f t="shared" si="18"/>
        <v/>
      </c>
      <c r="K142" s="197">
        <f t="shared" si="15"/>
        <v>216</v>
      </c>
      <c r="L142" t="str">
        <f t="shared" si="16"/>
        <v>ΚΕΝΤΡΙΚΗΣ ΜΑΚΕΔΟΝΙΑΣ</v>
      </c>
      <c r="M142" t="str">
        <f t="shared" si="17"/>
        <v>ΚΕΝΤΡΙΚΗΣ ΜΑΚΕΔΟΝΙΑΣ - ΩΡΑΙΟΚΑΣΤΡΟΥ</v>
      </c>
      <c r="N142" s="195">
        <f t="shared" si="19"/>
        <v>14534</v>
      </c>
      <c r="O142" s="195" t="str">
        <f t="shared" si="20"/>
        <v>Ωραιοκάστρου</v>
      </c>
    </row>
    <row r="143" spans="1:15" x14ac:dyDescent="0.25">
      <c r="A143" s="197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5" t="s">
        <v>721</v>
      </c>
      <c r="G143" s="195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197">
        <f t="shared" si="15"/>
        <v>218</v>
      </c>
      <c r="L143" t="str">
        <f t="shared" si="16"/>
        <v>ΚΡΗΤΗΣ</v>
      </c>
      <c r="M143" t="str">
        <f t="shared" si="17"/>
        <v>ΚΡΗΤΗΣ - ΑΓΙΟΥ ΝΙΚΟΛΑΟΥ</v>
      </c>
      <c r="N143" s="195">
        <f t="shared" si="19"/>
        <v>13930</v>
      </c>
      <c r="O143" s="195" t="str">
        <f t="shared" si="20"/>
        <v>Αγίου Νικολάου</v>
      </c>
    </row>
    <row r="144" spans="1:15" x14ac:dyDescent="0.25">
      <c r="A144" s="197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5" t="s">
        <v>722</v>
      </c>
      <c r="G144" s="195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197">
        <f t="shared" si="15"/>
        <v>226</v>
      </c>
      <c r="L144" t="str">
        <f t="shared" si="16"/>
        <v>ΚΡΗΤΗΣ</v>
      </c>
      <c r="M144" t="str">
        <f t="shared" si="17"/>
        <v>ΚΡΗΤΗΣ - ΗΡΑΚΛΕΙΟΥ</v>
      </c>
      <c r="N144" s="195">
        <f t="shared" si="19"/>
        <v>14122</v>
      </c>
      <c r="O144" s="195" t="str">
        <f t="shared" si="20"/>
        <v>Ηρακλείου</v>
      </c>
    </row>
    <row r="145" spans="1:15" x14ac:dyDescent="0.25">
      <c r="A145" s="197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5" t="s">
        <v>723</v>
      </c>
      <c r="G145" s="195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197">
        <f t="shared" si="15"/>
        <v>227</v>
      </c>
      <c r="L145" t="str">
        <f t="shared" si="16"/>
        <v>ΚΡΗΤΗΣ</v>
      </c>
      <c r="M145" t="str">
        <f t="shared" si="17"/>
        <v>ΚΡΗΤΗΣ - ΙΕΡΑΠΕΤΡΑΣ</v>
      </c>
      <c r="N145" s="195">
        <f t="shared" si="19"/>
        <v>14134</v>
      </c>
      <c r="O145" s="195" t="str">
        <f t="shared" si="20"/>
        <v>Ιεράπετρας</v>
      </c>
    </row>
    <row r="146" spans="1:15" x14ac:dyDescent="0.25">
      <c r="A146" s="197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5" t="s">
        <v>724</v>
      </c>
      <c r="G146" s="195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Μερική</v>
      </c>
      <c r="J146" t="str">
        <f t="shared" si="18"/>
        <v/>
      </c>
      <c r="K146" s="197">
        <f t="shared" si="15"/>
        <v>235</v>
      </c>
      <c r="L146" t="str">
        <f t="shared" si="16"/>
        <v>ΚΡΗΤΗΣ</v>
      </c>
      <c r="M146" t="str">
        <f t="shared" si="17"/>
        <v>ΚΡΗΤΗΣ - ΡΕΘΥΜΝΗΣ</v>
      </c>
      <c r="N146" s="195">
        <f t="shared" si="19"/>
        <v>14428</v>
      </c>
      <c r="O146" s="195" t="str">
        <f t="shared" si="20"/>
        <v>Ρεθύμνης</v>
      </c>
    </row>
    <row r="147" spans="1:15" x14ac:dyDescent="0.25">
      <c r="A147" s="197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5" t="s">
        <v>725</v>
      </c>
      <c r="G147" s="195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Μερική</v>
      </c>
      <c r="J147" t="str">
        <f t="shared" si="18"/>
        <v/>
      </c>
      <c r="K147" s="197">
        <f t="shared" si="15"/>
        <v>236</v>
      </c>
      <c r="L147" t="str">
        <f t="shared" si="16"/>
        <v>ΚΡΗΤΗΣ</v>
      </c>
      <c r="M147" t="str">
        <f t="shared" si="17"/>
        <v>ΚΡΗΤΗΣ - ΣΗΤΕΙΑΣ</v>
      </c>
      <c r="N147" s="195">
        <f t="shared" si="19"/>
        <v>14452</v>
      </c>
      <c r="O147" s="195" t="str">
        <f t="shared" si="20"/>
        <v>Σητείας</v>
      </c>
    </row>
    <row r="148" spans="1:15" x14ac:dyDescent="0.25">
      <c r="A148" s="197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5" t="s">
        <v>726</v>
      </c>
      <c r="G148" s="195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Μερική</v>
      </c>
      <c r="J148" t="str">
        <f t="shared" si="18"/>
        <v/>
      </c>
      <c r="K148" s="197">
        <f t="shared" si="15"/>
        <v>239</v>
      </c>
      <c r="L148" t="str">
        <f t="shared" si="16"/>
        <v>ΚΡΗΤΗΣ</v>
      </c>
      <c r="M148" t="str">
        <f t="shared" si="17"/>
        <v>ΚΡΗΤΗΣ - ΧΑΝΙΩΝ</v>
      </c>
      <c r="N148" s="195">
        <f t="shared" si="19"/>
        <v>14532</v>
      </c>
      <c r="O148" s="195" t="str">
        <f t="shared" si="20"/>
        <v>Χανίων</v>
      </c>
    </row>
    <row r="149" spans="1:15" x14ac:dyDescent="0.25">
      <c r="A149" s="197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5" t="s">
        <v>727</v>
      </c>
      <c r="G149" s="195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197">
        <f t="shared" si="15"/>
        <v>249</v>
      </c>
      <c r="L149" t="str">
        <f t="shared" si="16"/>
        <v>ΝΟΤΙΟΥ ΑΙΓΑΙΟΥ</v>
      </c>
      <c r="M149" t="str">
        <f t="shared" si="17"/>
        <v>ΝΟΤΙΟΥ ΑΙΓΑΙΟΥ - ΚΑΛΥΜΝΙΩΝ</v>
      </c>
      <c r="N149" s="195">
        <f t="shared" si="19"/>
        <v>14184</v>
      </c>
      <c r="O149" s="195" t="str">
        <f t="shared" si="20"/>
        <v>Καλυμνίων</v>
      </c>
    </row>
    <row r="150" spans="1:15" x14ac:dyDescent="0.25">
      <c r="A150" s="197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5" t="s">
        <v>728</v>
      </c>
      <c r="G150" s="195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197">
        <f t="shared" si="15"/>
        <v>250</v>
      </c>
      <c r="L150" t="str">
        <f t="shared" si="16"/>
        <v>ΝΟΤΙΟΥ ΑΙΓΑΙΟΥ</v>
      </c>
      <c r="M150" t="str">
        <f t="shared" si="17"/>
        <v>ΝΟΤΙΟΥ ΑΙΓΑΙΟΥ - ΚΑΡΠΑΘΟΥ</v>
      </c>
      <c r="N150" s="195">
        <f t="shared" si="19"/>
        <v>14190</v>
      </c>
      <c r="O150" s="195" t="str">
        <f t="shared" si="20"/>
        <v>Καρπάθου</v>
      </c>
    </row>
    <row r="151" spans="1:15" x14ac:dyDescent="0.25">
      <c r="A151" s="197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5" t="s">
        <v>729</v>
      </c>
      <c r="G151" s="195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197">
        <f t="shared" si="15"/>
        <v>255</v>
      </c>
      <c r="L151" t="str">
        <f t="shared" si="16"/>
        <v>ΝΟΤΙΟΥ ΑΙΓΑΙΟΥ</v>
      </c>
      <c r="M151" t="str">
        <f t="shared" si="17"/>
        <v>ΝΟΤΙΟΥ ΑΙΓΑΙΟΥ - ΚΩ</v>
      </c>
      <c r="N151" s="195">
        <f t="shared" si="19"/>
        <v>14170</v>
      </c>
      <c r="O151" s="195" t="str">
        <f t="shared" si="20"/>
        <v>Κω</v>
      </c>
    </row>
    <row r="152" spans="1:15" x14ac:dyDescent="0.25">
      <c r="A152" s="197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5" t="s">
        <v>730</v>
      </c>
      <c r="G152" s="195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197">
        <f t="shared" si="15"/>
        <v>257</v>
      </c>
      <c r="L152" t="str">
        <f t="shared" si="16"/>
        <v>ΝΟΤΙΟΥ ΑΙΓΑΙΟΥ</v>
      </c>
      <c r="M152" t="str">
        <f t="shared" si="17"/>
        <v>ΝΟΤΙΟΥ ΑΙΓΑΙΟΥ - ΛΕΡΟΥ</v>
      </c>
      <c r="N152" s="195">
        <f t="shared" si="19"/>
        <v>14254</v>
      </c>
      <c r="O152" s="195" t="str">
        <f t="shared" si="20"/>
        <v>Λέρου</v>
      </c>
    </row>
    <row r="153" spans="1:15" x14ac:dyDescent="0.25">
      <c r="A153" s="197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5" t="s">
        <v>731</v>
      </c>
      <c r="G153" s="195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Μερική</v>
      </c>
      <c r="J153" t="str">
        <f t="shared" si="18"/>
        <v/>
      </c>
      <c r="K153" s="197">
        <f t="shared" si="15"/>
        <v>260</v>
      </c>
      <c r="L153" t="str">
        <f t="shared" si="16"/>
        <v>ΝΟΤΙΟΥ ΑΙΓΑΙΟΥ</v>
      </c>
      <c r="M153" t="str">
        <f t="shared" si="17"/>
        <v>ΝΟΤΙΟΥ ΑΙΓΑΙΟΥ - ΜΥΚΟΝΟΥ</v>
      </c>
      <c r="N153" s="195">
        <f t="shared" si="19"/>
        <v>14306</v>
      </c>
      <c r="O153" s="195" t="str">
        <f t="shared" si="20"/>
        <v>Μυκόνου</v>
      </c>
    </row>
    <row r="154" spans="1:15" x14ac:dyDescent="0.25">
      <c r="A154" s="197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5" t="s">
        <v>732</v>
      </c>
      <c r="G154" s="195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Μερική</v>
      </c>
      <c r="J154" t="str">
        <f t="shared" si="18"/>
        <v/>
      </c>
      <c r="K154" s="197">
        <f t="shared" si="15"/>
        <v>264</v>
      </c>
      <c r="L154" t="str">
        <f t="shared" si="16"/>
        <v>ΝΟΤΙΟΥ ΑΙΓΑΙΟΥ</v>
      </c>
      <c r="M154" t="str">
        <f t="shared" si="17"/>
        <v>ΝΟΤΙΟΥ ΑΙΓΑΙΟΥ - ΠΑΤΜΟΥ</v>
      </c>
      <c r="N154" s="195">
        <f t="shared" si="19"/>
        <v>14364</v>
      </c>
      <c r="O154" s="195" t="str">
        <f t="shared" si="20"/>
        <v>Πάτμου</v>
      </c>
    </row>
    <row r="155" spans="1:15" x14ac:dyDescent="0.25">
      <c r="A155" s="197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5" t="s">
        <v>733</v>
      </c>
      <c r="G155" s="195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Μερική</v>
      </c>
      <c r="J155" t="str">
        <f t="shared" si="18"/>
        <v/>
      </c>
      <c r="K155" s="197">
        <f t="shared" si="15"/>
        <v>265</v>
      </c>
      <c r="L155" t="str">
        <f t="shared" si="16"/>
        <v>ΝΟΤΙΟΥ ΑΙΓΑΙΟΥ</v>
      </c>
      <c r="M155" t="str">
        <f t="shared" si="17"/>
        <v>ΝΟΤΙΟΥ ΑΙΓΑΙΟΥ - ΡΟΔΟΥ</v>
      </c>
      <c r="N155" s="195">
        <f t="shared" si="19"/>
        <v>14436</v>
      </c>
      <c r="O155" s="195" t="str">
        <f t="shared" si="20"/>
        <v>Ρόδου</v>
      </c>
    </row>
    <row r="156" spans="1:15" x14ac:dyDescent="0.25">
      <c r="A156" s="197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5" t="s">
        <v>734</v>
      </c>
      <c r="G156" s="195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197">
        <f t="shared" si="15"/>
        <v>276</v>
      </c>
      <c r="L156" t="str">
        <f t="shared" si="16"/>
        <v>ΠΕΛΟΠΟΝΝΗΣΟΥ</v>
      </c>
      <c r="M156" t="str">
        <f t="shared" si="17"/>
        <v>ΠΕΛΟΠΟΝΝΗΣΟΥ - ΑΡΓΟΥΣ – ΜΥΚΗΝΩΝ</v>
      </c>
      <c r="N156" s="195">
        <f t="shared" si="19"/>
        <v>13994</v>
      </c>
      <c r="O156" s="195" t="str">
        <f t="shared" si="20"/>
        <v>Άργους - Μυκηνών</v>
      </c>
    </row>
    <row r="157" spans="1:15" x14ac:dyDescent="0.25">
      <c r="A157" s="197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5" t="s">
        <v>735</v>
      </c>
      <c r="G157" s="195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Μερική</v>
      </c>
      <c r="J157" t="str">
        <f t="shared" si="18"/>
        <v/>
      </c>
      <c r="K157" s="197">
        <f t="shared" si="15"/>
        <v>285</v>
      </c>
      <c r="L157" t="str">
        <f t="shared" si="16"/>
        <v>ΠΕΛΟΠΟΝΝΗΣΟΥ</v>
      </c>
      <c r="M157" t="str">
        <f t="shared" si="17"/>
        <v>ΠΕΛΟΠΟΝΝΗΣΟΥ - ΚΑΛΑΜΑΤΑΣ</v>
      </c>
      <c r="N157" s="195">
        <f t="shared" si="19"/>
        <v>14178</v>
      </c>
      <c r="O157" s="195" t="str">
        <f t="shared" si="20"/>
        <v>Καλαμάτας</v>
      </c>
    </row>
    <row r="158" spans="1:15" x14ac:dyDescent="0.25">
      <c r="A158" s="197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5" t="s">
        <v>736</v>
      </c>
      <c r="G158" s="195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197">
        <f t="shared" si="15"/>
        <v>286</v>
      </c>
      <c r="L158" t="str">
        <f t="shared" si="16"/>
        <v>ΠΕΛΟΠΟΝΝΗΣΟΥ</v>
      </c>
      <c r="M158" t="str">
        <f t="shared" si="17"/>
        <v>ΠΕΛΟΠΟΝΝΗΣΟΥ - ΚΟΡΙΝΘΙΩΝ</v>
      </c>
      <c r="N158" s="195">
        <f t="shared" si="19"/>
        <v>14168</v>
      </c>
      <c r="O158" s="195" t="str">
        <f t="shared" si="20"/>
        <v>Κορινθίων</v>
      </c>
    </row>
    <row r="159" spans="1:15" x14ac:dyDescent="0.25">
      <c r="A159" s="197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5" t="s">
        <v>737</v>
      </c>
      <c r="G159" s="195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197">
        <f t="shared" si="15"/>
        <v>287</v>
      </c>
      <c r="L159" t="str">
        <f t="shared" si="16"/>
        <v>ΠΕΛΟΠΟΝΝΗΣΟΥ</v>
      </c>
      <c r="M159" t="str">
        <f t="shared" si="17"/>
        <v>ΠΕΛΟΠΟΝΝΗΣΟΥ - ΛΟΥΤΡΑΚΙΟΥ – ΑΓΙΩΝ ΘΕΟΔΩΡΩΝ</v>
      </c>
      <c r="N159" s="195">
        <f t="shared" si="19"/>
        <v>14244</v>
      </c>
      <c r="O159" s="195" t="str">
        <f t="shared" si="20"/>
        <v>Λουτρακίου - Αγ. Θεοδώρων</v>
      </c>
    </row>
    <row r="160" spans="1:15" x14ac:dyDescent="0.25">
      <c r="A160" s="197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5" t="s">
        <v>738</v>
      </c>
      <c r="G160" s="195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197">
        <f t="shared" si="15"/>
        <v>291</v>
      </c>
      <c r="L160" t="str">
        <f t="shared" si="16"/>
        <v>ΠΕΛΟΠΟΝΝΗΣΟΥ</v>
      </c>
      <c r="M160" t="str">
        <f t="shared" si="17"/>
        <v>ΠΕΛΟΠΟΝΝΗΣΟΥ - ΝΑΥΠΛΙΕΩΝ</v>
      </c>
      <c r="N160" s="195">
        <f t="shared" si="19"/>
        <v>14314</v>
      </c>
      <c r="O160" s="195" t="str">
        <f t="shared" si="20"/>
        <v>Ναυπλιέων</v>
      </c>
    </row>
    <row r="161" spans="1:15" x14ac:dyDescent="0.25">
      <c r="A161" s="197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5" t="s">
        <v>739</v>
      </c>
      <c r="G161" s="195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Μερική</v>
      </c>
      <c r="J161" t="str">
        <f t="shared" si="18"/>
        <v/>
      </c>
      <c r="K161" s="197">
        <f t="shared" si="15"/>
        <v>298</v>
      </c>
      <c r="L161" t="str">
        <f t="shared" si="16"/>
        <v>ΠΕΛΟΠΟΝΝΗΣΟΥ</v>
      </c>
      <c r="M161" t="str">
        <f t="shared" si="17"/>
        <v>ΠΕΛΟΠΟΝΝΗΣΟΥ - ΣΠΑΡΤΗΣ</v>
      </c>
      <c r="N161" s="195">
        <f t="shared" si="19"/>
        <v>14478</v>
      </c>
      <c r="O161" s="195" t="str">
        <f t="shared" si="20"/>
        <v>Σπάρτης</v>
      </c>
    </row>
    <row r="162" spans="1:15" x14ac:dyDescent="0.25">
      <c r="A162" s="197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5" t="s">
        <v>740</v>
      </c>
      <c r="G162" s="195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Μερική</v>
      </c>
      <c r="J162" t="str">
        <f t="shared" si="18"/>
        <v/>
      </c>
      <c r="K162" s="197">
        <f t="shared" si="15"/>
        <v>299</v>
      </c>
      <c r="L162" t="str">
        <f t="shared" si="16"/>
        <v>ΠΕΛΟΠΟΝΝΗΣΟΥ</v>
      </c>
      <c r="M162" t="str">
        <f t="shared" si="17"/>
        <v>ΠΕΛΟΠΟΝΝΗΣΟΥ - ΤΡΙΠΟΛΗΣ</v>
      </c>
      <c r="N162" s="195">
        <f t="shared" si="19"/>
        <v>14500</v>
      </c>
      <c r="O162" s="195" t="str">
        <f t="shared" si="20"/>
        <v>Τρίπολης</v>
      </c>
    </row>
    <row r="163" spans="1:15" x14ac:dyDescent="0.25">
      <c r="A163" s="197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5" t="s">
        <v>741</v>
      </c>
      <c r="G163" s="195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Μερική</v>
      </c>
      <c r="J163" t="str">
        <f t="shared" si="18"/>
        <v/>
      </c>
      <c r="K163" s="197">
        <f t="shared" si="15"/>
        <v>310</v>
      </c>
      <c r="L163" t="str">
        <f t="shared" si="16"/>
        <v>ΣΤΕΡΕΑΣ ΕΛΛΑΔΑΣ</v>
      </c>
      <c r="M163" t="str">
        <f t="shared" si="17"/>
        <v>ΣΤΕΡΕΑΣ ΕΛΛΑΔΑΣ - ΘΗΒΑΙΩΝ</v>
      </c>
      <c r="N163" s="195">
        <f t="shared" si="19"/>
        <v>14132</v>
      </c>
      <c r="O163" s="195" t="str">
        <f t="shared" si="20"/>
        <v>Θηβαίων</v>
      </c>
    </row>
    <row r="164" spans="1:15" x14ac:dyDescent="0.25">
      <c r="A164" s="197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5" t="s">
        <v>742</v>
      </c>
      <c r="G164" s="195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197">
        <f t="shared" si="15"/>
        <v>315</v>
      </c>
      <c r="L164" t="str">
        <f t="shared" si="16"/>
        <v>ΣΤΕΡΕΑΣ ΕΛΛΑΔΑΣ</v>
      </c>
      <c r="M164" t="str">
        <f t="shared" si="17"/>
        <v>ΣΤΕΡΕΑΣ ΕΛΛΑΔΑΣ - ΛΑΜΙΕΩΝ</v>
      </c>
      <c r="N164" s="195">
        <f t="shared" si="19"/>
        <v>14236</v>
      </c>
      <c r="O164" s="195" t="str">
        <f t="shared" si="20"/>
        <v>Λαμιέων</v>
      </c>
    </row>
    <row r="165" spans="1:15" x14ac:dyDescent="0.25">
      <c r="A165" s="197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5" t="s">
        <v>743</v>
      </c>
      <c r="G165" s="195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Μερική</v>
      </c>
      <c r="J165" t="str">
        <f t="shared" si="18"/>
        <v/>
      </c>
      <c r="K165" s="197">
        <f t="shared" si="15"/>
        <v>316</v>
      </c>
      <c r="L165" t="str">
        <f t="shared" si="16"/>
        <v>ΣΤΕΡΕΑΣ ΕΛΛΑΔΑΣ</v>
      </c>
      <c r="M165" t="str">
        <f t="shared" si="17"/>
        <v>ΣΤΕΡΕΑΣ ΕΛΛΑΔΑΣ - ΛΕΒΑΔΕΩΝ</v>
      </c>
      <c r="N165" s="195">
        <f t="shared" si="19"/>
        <v>14250</v>
      </c>
      <c r="O165" s="195" t="str">
        <f t="shared" si="20"/>
        <v>Λεβαδέων</v>
      </c>
    </row>
    <row r="166" spans="1:15" x14ac:dyDescent="0.25">
      <c r="A166" s="197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5" t="s">
        <v>744</v>
      </c>
      <c r="G166" s="195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197">
        <f t="shared" si="15"/>
        <v>325</v>
      </c>
      <c r="L166" t="str">
        <f t="shared" si="16"/>
        <v>ΣΤΕΡΕΑΣ ΕΛΛΑΔΑΣ</v>
      </c>
      <c r="M166" t="str">
        <f t="shared" si="17"/>
        <v>ΣΤΕΡΕΑΣ ΕΛΛΑΔΑΣ - ΧΑΛΚΙΔΕΩΝ</v>
      </c>
      <c r="N166" s="195">
        <f t="shared" si="19"/>
        <v>14538</v>
      </c>
      <c r="O166" s="195" t="str">
        <f t="shared" si="20"/>
        <v>Χαλκιδέων</v>
      </c>
    </row>
    <row r="167" spans="1:15" x14ac:dyDescent="0.25">
      <c r="A167" s="197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5" t="s">
        <v>745</v>
      </c>
      <c r="G167" s="195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Μερική</v>
      </c>
      <c r="J167" t="str">
        <f t="shared" si="18"/>
        <v/>
      </c>
      <c r="K167" s="197" t="e">
        <f t="shared" si="15"/>
        <v>#NUM!</v>
      </c>
      <c r="L167" t="str">
        <f t="shared" si="16"/>
        <v/>
      </c>
      <c r="M167" t="str">
        <f t="shared" si="17"/>
        <v/>
      </c>
      <c r="N167" s="195" t="str">
        <f t="shared" si="19"/>
        <v/>
      </c>
      <c r="O167" s="195" t="str">
        <f t="shared" si="20"/>
        <v/>
      </c>
    </row>
    <row r="168" spans="1:15" x14ac:dyDescent="0.25">
      <c r="A168" s="197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5" t="s">
        <v>746</v>
      </c>
      <c r="G168" s="195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Μερική</v>
      </c>
      <c r="J168" t="str">
        <f t="shared" si="18"/>
        <v/>
      </c>
      <c r="K168" s="197" t="e">
        <f t="shared" si="15"/>
        <v>#NUM!</v>
      </c>
      <c r="L168" t="str">
        <f t="shared" si="16"/>
        <v/>
      </c>
      <c r="M168" t="str">
        <f t="shared" si="17"/>
        <v/>
      </c>
      <c r="N168" s="195" t="str">
        <f t="shared" si="19"/>
        <v/>
      </c>
      <c r="O168" s="195" t="str">
        <f t="shared" si="20"/>
        <v/>
      </c>
    </row>
    <row r="169" spans="1:15" x14ac:dyDescent="0.25">
      <c r="A169" s="197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5" t="s">
        <v>747</v>
      </c>
      <c r="G169" s="195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197" t="e">
        <f t="shared" si="15"/>
        <v>#NUM!</v>
      </c>
      <c r="L169" t="str">
        <f t="shared" si="16"/>
        <v/>
      </c>
      <c r="M169" t="str">
        <f t="shared" si="17"/>
        <v/>
      </c>
      <c r="N169" s="195" t="str">
        <f t="shared" si="19"/>
        <v/>
      </c>
      <c r="O169" s="195" t="str">
        <f t="shared" si="20"/>
        <v/>
      </c>
    </row>
    <row r="170" spans="1:15" x14ac:dyDescent="0.25">
      <c r="A170" s="197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5" t="s">
        <v>748</v>
      </c>
      <c r="G170" s="195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Μερική</v>
      </c>
      <c r="J170" t="str">
        <f t="shared" si="18"/>
        <v/>
      </c>
      <c r="K170" s="197" t="e">
        <f t="shared" si="15"/>
        <v>#NUM!</v>
      </c>
      <c r="L170" t="str">
        <f t="shared" si="16"/>
        <v/>
      </c>
      <c r="M170" t="str">
        <f t="shared" si="17"/>
        <v/>
      </c>
      <c r="N170" s="195" t="str">
        <f t="shared" si="19"/>
        <v/>
      </c>
      <c r="O170" s="195" t="str">
        <f t="shared" si="20"/>
        <v/>
      </c>
    </row>
    <row r="171" spans="1:15" x14ac:dyDescent="0.25">
      <c r="A171" s="197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5" t="s">
        <v>749</v>
      </c>
      <c r="G171" s="195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Μερική</v>
      </c>
      <c r="J171" t="str">
        <f t="shared" si="18"/>
        <v/>
      </c>
      <c r="K171" s="197" t="e">
        <f t="shared" si="15"/>
        <v>#NUM!</v>
      </c>
      <c r="L171" t="str">
        <f t="shared" si="16"/>
        <v/>
      </c>
      <c r="M171" t="str">
        <f t="shared" si="17"/>
        <v/>
      </c>
      <c r="N171" s="195" t="str">
        <f t="shared" si="19"/>
        <v/>
      </c>
      <c r="O171" s="195" t="str">
        <f t="shared" si="20"/>
        <v/>
      </c>
    </row>
    <row r="172" spans="1:15" x14ac:dyDescent="0.25">
      <c r="A172" s="197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5" t="s">
        <v>750</v>
      </c>
      <c r="G172" s="195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Μερική</v>
      </c>
      <c r="J172" t="str">
        <f t="shared" si="18"/>
        <v/>
      </c>
      <c r="K172" s="197" t="e">
        <f t="shared" si="15"/>
        <v>#NUM!</v>
      </c>
      <c r="L172" t="str">
        <f t="shared" si="16"/>
        <v/>
      </c>
      <c r="M172" t="str">
        <f t="shared" si="17"/>
        <v/>
      </c>
      <c r="N172" s="195" t="str">
        <f t="shared" si="19"/>
        <v/>
      </c>
      <c r="O172" s="195" t="str">
        <f t="shared" si="20"/>
        <v/>
      </c>
    </row>
    <row r="173" spans="1:15" x14ac:dyDescent="0.25">
      <c r="A173" s="197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5" t="s">
        <v>751</v>
      </c>
      <c r="G173" s="195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7" t="e">
        <f t="shared" si="15"/>
        <v>#NUM!</v>
      </c>
      <c r="L173" t="str">
        <f t="shared" si="16"/>
        <v/>
      </c>
      <c r="M173" t="str">
        <f t="shared" si="17"/>
        <v/>
      </c>
      <c r="N173" s="195" t="str">
        <f t="shared" si="19"/>
        <v/>
      </c>
      <c r="O173" s="195" t="str">
        <f t="shared" si="20"/>
        <v/>
      </c>
    </row>
    <row r="174" spans="1:15" x14ac:dyDescent="0.25">
      <c r="A174" s="197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5" t="s">
        <v>752</v>
      </c>
      <c r="G174" s="195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7" t="e">
        <f t="shared" si="15"/>
        <v>#NUM!</v>
      </c>
      <c r="L174" t="str">
        <f t="shared" si="16"/>
        <v/>
      </c>
      <c r="M174" t="str">
        <f t="shared" si="17"/>
        <v/>
      </c>
      <c r="N174" s="195" t="str">
        <f t="shared" si="19"/>
        <v/>
      </c>
      <c r="O174" s="195" t="str">
        <f t="shared" si="20"/>
        <v/>
      </c>
    </row>
    <row r="175" spans="1:15" x14ac:dyDescent="0.25">
      <c r="A175" s="197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5" t="s">
        <v>753</v>
      </c>
      <c r="G175" s="195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7" t="e">
        <f t="shared" si="15"/>
        <v>#NUM!</v>
      </c>
      <c r="L175" t="str">
        <f t="shared" si="16"/>
        <v/>
      </c>
      <c r="M175" t="str">
        <f t="shared" si="17"/>
        <v/>
      </c>
      <c r="N175" s="195" t="str">
        <f t="shared" si="19"/>
        <v/>
      </c>
      <c r="O175" s="195" t="str">
        <f t="shared" si="20"/>
        <v/>
      </c>
    </row>
    <row r="176" spans="1:15" x14ac:dyDescent="0.25">
      <c r="A176" s="197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5" t="s">
        <v>754</v>
      </c>
      <c r="G176" s="195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7" t="e">
        <f t="shared" si="15"/>
        <v>#NUM!</v>
      </c>
      <c r="L176" t="str">
        <f t="shared" si="16"/>
        <v/>
      </c>
      <c r="M176" t="str">
        <f t="shared" si="17"/>
        <v/>
      </c>
      <c r="N176" s="195" t="str">
        <f t="shared" si="19"/>
        <v/>
      </c>
      <c r="O176" s="195" t="str">
        <f t="shared" si="20"/>
        <v/>
      </c>
    </row>
    <row r="177" spans="1:15" x14ac:dyDescent="0.25">
      <c r="A177" s="197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5" t="s">
        <v>755</v>
      </c>
      <c r="G177" s="195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7" t="e">
        <f t="shared" si="15"/>
        <v>#NUM!</v>
      </c>
      <c r="L177" t="str">
        <f t="shared" si="16"/>
        <v/>
      </c>
      <c r="M177" t="str">
        <f t="shared" si="17"/>
        <v/>
      </c>
      <c r="N177" s="195" t="str">
        <f t="shared" si="19"/>
        <v/>
      </c>
      <c r="O177" s="195" t="str">
        <f t="shared" si="20"/>
        <v/>
      </c>
    </row>
    <row r="178" spans="1:15" x14ac:dyDescent="0.25">
      <c r="A178" s="197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5" t="s">
        <v>756</v>
      </c>
      <c r="G178" s="195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7" t="e">
        <f t="shared" si="15"/>
        <v>#NUM!</v>
      </c>
      <c r="L178" t="str">
        <f t="shared" si="16"/>
        <v/>
      </c>
      <c r="M178" t="str">
        <f t="shared" si="17"/>
        <v/>
      </c>
      <c r="N178" s="195" t="str">
        <f t="shared" si="19"/>
        <v/>
      </c>
      <c r="O178" s="195" t="str">
        <f t="shared" si="20"/>
        <v/>
      </c>
    </row>
    <row r="179" spans="1:15" x14ac:dyDescent="0.25">
      <c r="A179" s="197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5" t="s">
        <v>757</v>
      </c>
      <c r="G179" s="195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7" t="e">
        <f t="shared" si="15"/>
        <v>#NUM!</v>
      </c>
      <c r="L179" t="str">
        <f t="shared" si="16"/>
        <v/>
      </c>
      <c r="M179" t="str">
        <f t="shared" si="17"/>
        <v/>
      </c>
      <c r="N179" s="195" t="str">
        <f t="shared" si="19"/>
        <v/>
      </c>
      <c r="O179" s="195" t="str">
        <f t="shared" si="20"/>
        <v/>
      </c>
    </row>
    <row r="180" spans="1:15" x14ac:dyDescent="0.25">
      <c r="A180" s="197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5" t="s">
        <v>758</v>
      </c>
      <c r="G180" s="195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Μερική</v>
      </c>
      <c r="J180" t="str">
        <f t="shared" si="18"/>
        <v/>
      </c>
      <c r="K180" s="197" t="e">
        <f t="shared" si="15"/>
        <v>#NUM!</v>
      </c>
      <c r="L180" t="str">
        <f t="shared" si="16"/>
        <v/>
      </c>
      <c r="M180" t="str">
        <f t="shared" si="17"/>
        <v/>
      </c>
      <c r="N180" s="195" t="str">
        <f t="shared" si="19"/>
        <v/>
      </c>
      <c r="O180" s="195" t="str">
        <f t="shared" si="20"/>
        <v/>
      </c>
    </row>
    <row r="181" spans="1:15" x14ac:dyDescent="0.25">
      <c r="A181" s="197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5" t="s">
        <v>759</v>
      </c>
      <c r="G181" s="195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Μερική</v>
      </c>
      <c r="J181" t="str">
        <f t="shared" si="18"/>
        <v/>
      </c>
      <c r="K181" s="197" t="e">
        <f t="shared" si="15"/>
        <v>#NUM!</v>
      </c>
      <c r="L181" t="str">
        <f t="shared" si="16"/>
        <v/>
      </c>
      <c r="M181" t="str">
        <f t="shared" si="17"/>
        <v/>
      </c>
      <c r="N181" s="195" t="str">
        <f t="shared" si="19"/>
        <v/>
      </c>
      <c r="O181" s="195" t="str">
        <f t="shared" si="20"/>
        <v/>
      </c>
    </row>
    <row r="182" spans="1:15" x14ac:dyDescent="0.25">
      <c r="A182" s="197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5" t="s">
        <v>760</v>
      </c>
      <c r="G182" s="195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197" t="e">
        <f t="shared" si="15"/>
        <v>#NUM!</v>
      </c>
      <c r="L182" t="str">
        <f t="shared" si="16"/>
        <v/>
      </c>
      <c r="M182" t="str">
        <f t="shared" si="17"/>
        <v/>
      </c>
      <c r="N182" s="195" t="str">
        <f t="shared" si="19"/>
        <v/>
      </c>
      <c r="O182" s="195" t="str">
        <f t="shared" si="20"/>
        <v/>
      </c>
    </row>
    <row r="183" spans="1:15" x14ac:dyDescent="0.25">
      <c r="A183" s="197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5" t="s">
        <v>761</v>
      </c>
      <c r="G183" s="195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197" t="e">
        <f t="shared" si="15"/>
        <v>#NUM!</v>
      </c>
      <c r="L183" t="str">
        <f t="shared" si="16"/>
        <v/>
      </c>
      <c r="M183" t="str">
        <f t="shared" si="17"/>
        <v/>
      </c>
      <c r="N183" s="195" t="str">
        <f t="shared" si="19"/>
        <v/>
      </c>
      <c r="O183" s="195" t="str">
        <f t="shared" si="20"/>
        <v/>
      </c>
    </row>
    <row r="184" spans="1:15" x14ac:dyDescent="0.25">
      <c r="A184" s="197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5" t="s">
        <v>762</v>
      </c>
      <c r="G184" s="195">
        <v>13996</v>
      </c>
      <c r="H184" t="str">
        <f>_xlfn.IFNA(INDEX(DimosNaiOxi,MATCH(ΤΚ!E184,DimosNai,0)),"")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197" t="e">
        <f t="shared" si="15"/>
        <v>#NUM!</v>
      </c>
      <c r="L184" t="str">
        <f t="shared" si="16"/>
        <v/>
      </c>
      <c r="M184" t="str">
        <f t="shared" si="17"/>
        <v/>
      </c>
      <c r="N184" s="195" t="str">
        <f t="shared" si="19"/>
        <v/>
      </c>
      <c r="O184" s="195" t="str">
        <f t="shared" si="20"/>
        <v/>
      </c>
    </row>
    <row r="185" spans="1:15" x14ac:dyDescent="0.25">
      <c r="A185" s="197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5" t="s">
        <v>763</v>
      </c>
      <c r="G185" s="195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197" t="e">
        <f t="shared" si="15"/>
        <v>#NUM!</v>
      </c>
      <c r="L185" t="str">
        <f t="shared" si="16"/>
        <v/>
      </c>
      <c r="M185" t="str">
        <f t="shared" si="17"/>
        <v/>
      </c>
      <c r="N185" s="195" t="str">
        <f t="shared" si="19"/>
        <v/>
      </c>
      <c r="O185" s="195" t="str">
        <f t="shared" si="20"/>
        <v/>
      </c>
    </row>
    <row r="186" spans="1:15" x14ac:dyDescent="0.25">
      <c r="A186" s="197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5" t="s">
        <v>764</v>
      </c>
      <c r="G186" s="195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197" t="e">
        <f t="shared" si="15"/>
        <v>#NUM!</v>
      </c>
      <c r="L186" t="str">
        <f t="shared" si="16"/>
        <v/>
      </c>
      <c r="M186" t="str">
        <f t="shared" si="17"/>
        <v/>
      </c>
      <c r="N186" s="195" t="str">
        <f t="shared" si="19"/>
        <v/>
      </c>
      <c r="O186" s="195" t="str">
        <f t="shared" si="20"/>
        <v/>
      </c>
    </row>
    <row r="187" spans="1:15" x14ac:dyDescent="0.25">
      <c r="A187" s="197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5" t="s">
        <v>765</v>
      </c>
      <c r="G187" s="195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197" t="e">
        <f t="shared" si="15"/>
        <v>#NUM!</v>
      </c>
      <c r="L187" t="str">
        <f t="shared" si="16"/>
        <v/>
      </c>
      <c r="M187" t="str">
        <f t="shared" si="17"/>
        <v/>
      </c>
      <c r="N187" s="195" t="str">
        <f t="shared" si="19"/>
        <v/>
      </c>
      <c r="O187" s="195" t="str">
        <f t="shared" si="20"/>
        <v/>
      </c>
    </row>
    <row r="188" spans="1:15" x14ac:dyDescent="0.25">
      <c r="A188" s="197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5" t="s">
        <v>766</v>
      </c>
      <c r="G188" s="195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197" t="e">
        <f t="shared" si="15"/>
        <v>#NUM!</v>
      </c>
      <c r="L188" t="str">
        <f t="shared" si="16"/>
        <v/>
      </c>
      <c r="M188" t="str">
        <f t="shared" si="17"/>
        <v/>
      </c>
      <c r="N188" s="195" t="str">
        <f t="shared" si="19"/>
        <v/>
      </c>
      <c r="O188" s="195" t="str">
        <f t="shared" si="20"/>
        <v/>
      </c>
    </row>
    <row r="189" spans="1:15" x14ac:dyDescent="0.25">
      <c r="A189" s="197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5" t="s">
        <v>767</v>
      </c>
      <c r="G189" s="195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Μερική</v>
      </c>
      <c r="J189" t="str">
        <f t="shared" si="18"/>
        <v/>
      </c>
      <c r="K189" s="197" t="e">
        <f t="shared" si="15"/>
        <v>#NUM!</v>
      </c>
      <c r="L189" t="str">
        <f t="shared" si="16"/>
        <v/>
      </c>
      <c r="M189" t="str">
        <f t="shared" si="17"/>
        <v/>
      </c>
      <c r="N189" s="195" t="str">
        <f t="shared" si="19"/>
        <v/>
      </c>
      <c r="O189" s="195" t="str">
        <f t="shared" si="20"/>
        <v/>
      </c>
    </row>
    <row r="190" spans="1:15" x14ac:dyDescent="0.25">
      <c r="A190" s="197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5" t="s">
        <v>768</v>
      </c>
      <c r="G190" s="195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197" t="e">
        <f t="shared" si="15"/>
        <v>#NUM!</v>
      </c>
      <c r="L190" t="str">
        <f t="shared" si="16"/>
        <v/>
      </c>
      <c r="M190" t="str">
        <f t="shared" si="17"/>
        <v/>
      </c>
      <c r="N190" s="195" t="str">
        <f t="shared" si="19"/>
        <v/>
      </c>
      <c r="O190" s="195" t="str">
        <f t="shared" si="20"/>
        <v/>
      </c>
    </row>
    <row r="191" spans="1:15" x14ac:dyDescent="0.25">
      <c r="A191" s="197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5" t="s">
        <v>769</v>
      </c>
      <c r="G191" s="195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197" t="e">
        <f t="shared" si="15"/>
        <v>#NUM!</v>
      </c>
      <c r="L191" t="str">
        <f t="shared" si="16"/>
        <v/>
      </c>
      <c r="M191" t="str">
        <f t="shared" si="17"/>
        <v/>
      </c>
      <c r="N191" s="195" t="str">
        <f t="shared" si="19"/>
        <v/>
      </c>
      <c r="O191" s="195" t="str">
        <f t="shared" si="20"/>
        <v/>
      </c>
    </row>
    <row r="192" spans="1:15" x14ac:dyDescent="0.25">
      <c r="A192" s="197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5" t="s">
        <v>770</v>
      </c>
      <c r="G192" s="195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197" t="e">
        <f t="shared" si="15"/>
        <v>#NUM!</v>
      </c>
      <c r="L192" t="str">
        <f t="shared" si="16"/>
        <v/>
      </c>
      <c r="M192" t="str">
        <f t="shared" si="17"/>
        <v/>
      </c>
      <c r="N192" s="195" t="str">
        <f t="shared" si="19"/>
        <v/>
      </c>
      <c r="O192" s="195" t="str">
        <f t="shared" si="20"/>
        <v/>
      </c>
    </row>
    <row r="193" spans="1:15" x14ac:dyDescent="0.25">
      <c r="A193" s="197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5" t="s">
        <v>771</v>
      </c>
      <c r="G193" s="195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197" t="e">
        <f t="shared" si="15"/>
        <v>#NUM!</v>
      </c>
      <c r="L193" t="str">
        <f t="shared" si="16"/>
        <v/>
      </c>
      <c r="M193" t="str">
        <f t="shared" si="17"/>
        <v/>
      </c>
      <c r="N193" s="195" t="str">
        <f t="shared" si="19"/>
        <v/>
      </c>
      <c r="O193" s="195" t="str">
        <f t="shared" si="20"/>
        <v/>
      </c>
    </row>
    <row r="194" spans="1:15" x14ac:dyDescent="0.25">
      <c r="A194" s="197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5" t="s">
        <v>772</v>
      </c>
      <c r="G194" s="195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197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195" t="str">
        <f t="shared" si="19"/>
        <v/>
      </c>
      <c r="O194" s="195" t="str">
        <f t="shared" si="20"/>
        <v/>
      </c>
    </row>
    <row r="195" spans="1:15" x14ac:dyDescent="0.25">
      <c r="A195" s="197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5" t="s">
        <v>773</v>
      </c>
      <c r="G195" s="195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197" t="e">
        <f t="shared" si="22"/>
        <v>#NUM!</v>
      </c>
      <c r="L195" t="str">
        <f t="shared" si="23"/>
        <v/>
      </c>
      <c r="M195" t="str">
        <f t="shared" si="24"/>
        <v/>
      </c>
      <c r="N195" s="195" t="str">
        <f t="shared" ref="N195:N258" si="26">IF(ISNUMBER(K195),LOOKUP(K195,A:A,G:G),"")</f>
        <v/>
      </c>
      <c r="O195" s="195" t="str">
        <f t="shared" ref="O195:O258" si="27">IF(ISNUMBER(K195),LOOKUP(K195,A:A,F:F),"")</f>
        <v/>
      </c>
    </row>
    <row r="196" spans="1:15" x14ac:dyDescent="0.25">
      <c r="A196" s="197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5" t="s">
        <v>774</v>
      </c>
      <c r="G196" s="195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197" t="e">
        <f t="shared" si="22"/>
        <v>#NUM!</v>
      </c>
      <c r="L196" t="str">
        <f t="shared" si="23"/>
        <v/>
      </c>
      <c r="M196" t="str">
        <f t="shared" si="24"/>
        <v/>
      </c>
      <c r="N196" s="195" t="str">
        <f t="shared" si="26"/>
        <v/>
      </c>
      <c r="O196" s="195" t="str">
        <f t="shared" si="27"/>
        <v/>
      </c>
    </row>
    <row r="197" spans="1:15" x14ac:dyDescent="0.25">
      <c r="A197" s="197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5" t="s">
        <v>775</v>
      </c>
      <c r="G197" s="195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197" t="e">
        <f t="shared" si="22"/>
        <v>#NUM!</v>
      </c>
      <c r="L197" t="str">
        <f t="shared" si="23"/>
        <v/>
      </c>
      <c r="M197" t="str">
        <f t="shared" si="24"/>
        <v/>
      </c>
      <c r="N197" s="195" t="str">
        <f t="shared" si="26"/>
        <v/>
      </c>
      <c r="O197" s="195" t="str">
        <f t="shared" si="27"/>
        <v/>
      </c>
    </row>
    <row r="198" spans="1:15" x14ac:dyDescent="0.25">
      <c r="A198" s="197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5" t="s">
        <v>776</v>
      </c>
      <c r="G198" s="195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197" t="e">
        <f t="shared" si="22"/>
        <v>#NUM!</v>
      </c>
      <c r="L198" t="str">
        <f t="shared" si="23"/>
        <v/>
      </c>
      <c r="M198" t="str">
        <f t="shared" si="24"/>
        <v/>
      </c>
      <c r="N198" s="195" t="str">
        <f t="shared" si="26"/>
        <v/>
      </c>
      <c r="O198" s="195" t="str">
        <f t="shared" si="27"/>
        <v/>
      </c>
    </row>
    <row r="199" spans="1:15" x14ac:dyDescent="0.25">
      <c r="A199" s="197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5" t="s">
        <v>777</v>
      </c>
      <c r="G199" s="195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197" t="e">
        <f t="shared" si="22"/>
        <v>#NUM!</v>
      </c>
      <c r="L199" t="str">
        <f t="shared" si="23"/>
        <v/>
      </c>
      <c r="M199" t="str">
        <f t="shared" si="24"/>
        <v/>
      </c>
      <c r="N199" s="195" t="str">
        <f t="shared" si="26"/>
        <v/>
      </c>
      <c r="O199" s="195" t="str">
        <f t="shared" si="27"/>
        <v/>
      </c>
    </row>
    <row r="200" spans="1:15" x14ac:dyDescent="0.25">
      <c r="A200" s="197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5" t="s">
        <v>778</v>
      </c>
      <c r="G200" s="195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197" t="e">
        <f t="shared" si="22"/>
        <v>#NUM!</v>
      </c>
      <c r="L200" t="str">
        <f t="shared" si="23"/>
        <v/>
      </c>
      <c r="M200" t="str">
        <f t="shared" si="24"/>
        <v/>
      </c>
      <c r="N200" s="195" t="str">
        <f t="shared" si="26"/>
        <v/>
      </c>
      <c r="O200" s="195" t="str">
        <f t="shared" si="27"/>
        <v/>
      </c>
    </row>
    <row r="201" spans="1:15" x14ac:dyDescent="0.25">
      <c r="A201" s="197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5" t="s">
        <v>779</v>
      </c>
      <c r="G201" s="195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197" t="e">
        <f t="shared" si="22"/>
        <v>#NUM!</v>
      </c>
      <c r="L201" t="str">
        <f t="shared" si="23"/>
        <v/>
      </c>
      <c r="M201" t="str">
        <f t="shared" si="24"/>
        <v/>
      </c>
      <c r="N201" s="195" t="str">
        <f t="shared" si="26"/>
        <v/>
      </c>
      <c r="O201" s="195" t="str">
        <f t="shared" si="27"/>
        <v/>
      </c>
    </row>
    <row r="202" spans="1:15" x14ac:dyDescent="0.25">
      <c r="A202" s="197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5" t="s">
        <v>780</v>
      </c>
      <c r="G202" s="195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197" t="e">
        <f t="shared" si="22"/>
        <v>#NUM!</v>
      </c>
      <c r="L202" t="str">
        <f t="shared" si="23"/>
        <v/>
      </c>
      <c r="M202" t="str">
        <f t="shared" si="24"/>
        <v/>
      </c>
      <c r="N202" s="195" t="str">
        <f t="shared" si="26"/>
        <v/>
      </c>
      <c r="O202" s="195" t="str">
        <f t="shared" si="27"/>
        <v/>
      </c>
    </row>
    <row r="203" spans="1:15" x14ac:dyDescent="0.25">
      <c r="A203" s="197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5" t="s">
        <v>781</v>
      </c>
      <c r="G203" s="195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197" t="e">
        <f t="shared" si="22"/>
        <v>#NUM!</v>
      </c>
      <c r="L203" t="str">
        <f t="shared" si="23"/>
        <v/>
      </c>
      <c r="M203" t="str">
        <f t="shared" si="24"/>
        <v/>
      </c>
      <c r="N203" s="195" t="str">
        <f t="shared" si="26"/>
        <v/>
      </c>
      <c r="O203" s="195" t="str">
        <f t="shared" si="27"/>
        <v/>
      </c>
    </row>
    <row r="204" spans="1:15" x14ac:dyDescent="0.25">
      <c r="A204" s="197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5" t="s">
        <v>782</v>
      </c>
      <c r="G204" s="195">
        <v>14334</v>
      </c>
      <c r="H204" t="str">
        <f>_xlfn.IFNA(INDEX(DimosNaiOxi,MATCH(ΤΚ!E204,DimosNai,0)),"")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197" t="e">
        <f t="shared" si="22"/>
        <v>#NUM!</v>
      </c>
      <c r="L204" t="str">
        <f t="shared" si="23"/>
        <v/>
      </c>
      <c r="M204" t="str">
        <f t="shared" si="24"/>
        <v/>
      </c>
      <c r="N204" s="195" t="str">
        <f t="shared" si="26"/>
        <v/>
      </c>
      <c r="O204" s="195" t="str">
        <f t="shared" si="27"/>
        <v/>
      </c>
    </row>
    <row r="205" spans="1:15" x14ac:dyDescent="0.25">
      <c r="A205" s="197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5" t="s">
        <v>783</v>
      </c>
      <c r="G205" s="195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197" t="e">
        <f t="shared" si="22"/>
        <v>#NUM!</v>
      </c>
      <c r="L205" t="str">
        <f t="shared" si="23"/>
        <v/>
      </c>
      <c r="M205" t="str">
        <f t="shared" si="24"/>
        <v/>
      </c>
      <c r="N205" s="195" t="str">
        <f t="shared" si="26"/>
        <v/>
      </c>
      <c r="O205" s="195" t="str">
        <f t="shared" si="27"/>
        <v/>
      </c>
    </row>
    <row r="206" spans="1:15" x14ac:dyDescent="0.25">
      <c r="A206" s="197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5" t="s">
        <v>784</v>
      </c>
      <c r="G206" s="195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197" t="e">
        <f t="shared" si="22"/>
        <v>#NUM!</v>
      </c>
      <c r="L206" t="str">
        <f t="shared" si="23"/>
        <v/>
      </c>
      <c r="M206" t="str">
        <f t="shared" si="24"/>
        <v/>
      </c>
      <c r="N206" s="195" t="str">
        <f t="shared" si="26"/>
        <v/>
      </c>
      <c r="O206" s="195" t="str">
        <f t="shared" si="27"/>
        <v/>
      </c>
    </row>
    <row r="207" spans="1:15" x14ac:dyDescent="0.25">
      <c r="A207" s="197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5" t="s">
        <v>785</v>
      </c>
      <c r="G207" s="195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197" t="e">
        <f t="shared" si="22"/>
        <v>#NUM!</v>
      </c>
      <c r="L207" t="str">
        <f t="shared" si="23"/>
        <v/>
      </c>
      <c r="M207" t="str">
        <f t="shared" si="24"/>
        <v/>
      </c>
      <c r="N207" s="195" t="str">
        <f t="shared" si="26"/>
        <v/>
      </c>
      <c r="O207" s="195" t="str">
        <f t="shared" si="27"/>
        <v/>
      </c>
    </row>
    <row r="208" spans="1:15" x14ac:dyDescent="0.25">
      <c r="A208" s="197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5" t="s">
        <v>786</v>
      </c>
      <c r="G208" s="195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197" t="e">
        <f t="shared" si="22"/>
        <v>#NUM!</v>
      </c>
      <c r="L208" t="str">
        <f t="shared" si="23"/>
        <v/>
      </c>
      <c r="M208" t="str">
        <f t="shared" si="24"/>
        <v/>
      </c>
      <c r="N208" s="195" t="str">
        <f t="shared" si="26"/>
        <v/>
      </c>
      <c r="O208" s="195" t="str">
        <f t="shared" si="27"/>
        <v/>
      </c>
    </row>
    <row r="209" spans="1:15" x14ac:dyDescent="0.25">
      <c r="A209" s="197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5" t="s">
        <v>787</v>
      </c>
      <c r="G209" s="195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197" t="e">
        <f t="shared" si="22"/>
        <v>#NUM!</v>
      </c>
      <c r="L209" t="str">
        <f t="shared" si="23"/>
        <v/>
      </c>
      <c r="M209" t="str">
        <f t="shared" si="24"/>
        <v/>
      </c>
      <c r="N209" s="195" t="str">
        <f t="shared" si="26"/>
        <v/>
      </c>
      <c r="O209" s="195" t="str">
        <f t="shared" si="27"/>
        <v/>
      </c>
    </row>
    <row r="210" spans="1:15" x14ac:dyDescent="0.25">
      <c r="A210" s="197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5" t="s">
        <v>788</v>
      </c>
      <c r="G210" s="195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Μερική</v>
      </c>
      <c r="J210" t="str">
        <f t="shared" si="25"/>
        <v/>
      </c>
      <c r="K210" s="197" t="e">
        <f t="shared" si="22"/>
        <v>#NUM!</v>
      </c>
      <c r="L210" t="str">
        <f t="shared" si="23"/>
        <v/>
      </c>
      <c r="M210" t="str">
        <f t="shared" si="24"/>
        <v/>
      </c>
      <c r="N210" s="195" t="str">
        <f t="shared" si="26"/>
        <v/>
      </c>
      <c r="O210" s="195" t="str">
        <f t="shared" si="27"/>
        <v/>
      </c>
    </row>
    <row r="211" spans="1:15" x14ac:dyDescent="0.25">
      <c r="A211" s="197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5" t="s">
        <v>789</v>
      </c>
      <c r="G211" s="195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197" t="e">
        <f t="shared" si="22"/>
        <v>#NUM!</v>
      </c>
      <c r="L211" t="str">
        <f t="shared" si="23"/>
        <v/>
      </c>
      <c r="M211" t="str">
        <f t="shared" si="24"/>
        <v/>
      </c>
      <c r="N211" s="195" t="str">
        <f t="shared" si="26"/>
        <v/>
      </c>
      <c r="O211" s="195" t="str">
        <f t="shared" si="27"/>
        <v/>
      </c>
    </row>
    <row r="212" spans="1:15" x14ac:dyDescent="0.25">
      <c r="A212" s="197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5" t="s">
        <v>790</v>
      </c>
      <c r="G212" s="195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197" t="e">
        <f t="shared" si="22"/>
        <v>#NUM!</v>
      </c>
      <c r="L212" t="str">
        <f t="shared" si="23"/>
        <v/>
      </c>
      <c r="M212" t="str">
        <f t="shared" si="24"/>
        <v/>
      </c>
      <c r="N212" s="195" t="str">
        <f t="shared" si="26"/>
        <v/>
      </c>
      <c r="O212" s="195" t="str">
        <f t="shared" si="27"/>
        <v/>
      </c>
    </row>
    <row r="213" spans="1:15" x14ac:dyDescent="0.25">
      <c r="A213" s="197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5" t="s">
        <v>791</v>
      </c>
      <c r="G213" s="195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197" t="e">
        <f t="shared" si="22"/>
        <v>#NUM!</v>
      </c>
      <c r="L213" t="str">
        <f t="shared" si="23"/>
        <v/>
      </c>
      <c r="M213" t="str">
        <f t="shared" si="24"/>
        <v/>
      </c>
      <c r="N213" s="195" t="str">
        <f t="shared" si="26"/>
        <v/>
      </c>
      <c r="O213" s="195" t="str">
        <f t="shared" si="27"/>
        <v/>
      </c>
    </row>
    <row r="214" spans="1:15" x14ac:dyDescent="0.25">
      <c r="A214" s="197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5" t="s">
        <v>792</v>
      </c>
      <c r="G214" s="195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197" t="e">
        <f t="shared" si="22"/>
        <v>#NUM!</v>
      </c>
      <c r="L214" t="str">
        <f t="shared" si="23"/>
        <v/>
      </c>
      <c r="M214" t="str">
        <f t="shared" si="24"/>
        <v/>
      </c>
      <c r="N214" s="195" t="str">
        <f t="shared" si="26"/>
        <v/>
      </c>
      <c r="O214" s="195" t="str">
        <f t="shared" si="27"/>
        <v/>
      </c>
    </row>
    <row r="215" spans="1:15" x14ac:dyDescent="0.25">
      <c r="A215" s="197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5" t="s">
        <v>793</v>
      </c>
      <c r="G215" s="195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Μερική</v>
      </c>
      <c r="J215" t="str">
        <f t="shared" si="25"/>
        <v/>
      </c>
      <c r="K215" s="197" t="e">
        <f t="shared" si="22"/>
        <v>#NUM!</v>
      </c>
      <c r="L215" t="str">
        <f t="shared" si="23"/>
        <v/>
      </c>
      <c r="M215" t="str">
        <f t="shared" si="24"/>
        <v/>
      </c>
      <c r="N215" s="195" t="str">
        <f t="shared" si="26"/>
        <v/>
      </c>
      <c r="O215" s="195" t="str">
        <f t="shared" si="27"/>
        <v/>
      </c>
    </row>
    <row r="216" spans="1:15" x14ac:dyDescent="0.25">
      <c r="A216" s="197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5" t="s">
        <v>794</v>
      </c>
      <c r="G216" s="195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197" t="e">
        <f t="shared" si="22"/>
        <v>#NUM!</v>
      </c>
      <c r="L216" t="str">
        <f t="shared" si="23"/>
        <v/>
      </c>
      <c r="M216" t="str">
        <f t="shared" si="24"/>
        <v/>
      </c>
      <c r="N216" s="195" t="str">
        <f t="shared" si="26"/>
        <v/>
      </c>
      <c r="O216" s="195" t="str">
        <f t="shared" si="27"/>
        <v/>
      </c>
    </row>
    <row r="217" spans="1:15" x14ac:dyDescent="0.25">
      <c r="A217" s="197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5" t="s">
        <v>795</v>
      </c>
      <c r="G217" s="195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197" t="e">
        <f t="shared" si="22"/>
        <v>#NUM!</v>
      </c>
      <c r="L217" t="str">
        <f t="shared" si="23"/>
        <v/>
      </c>
      <c r="M217" t="str">
        <f t="shared" si="24"/>
        <v/>
      </c>
      <c r="N217" s="195" t="str">
        <f t="shared" si="26"/>
        <v/>
      </c>
      <c r="O217" s="195" t="str">
        <f t="shared" si="27"/>
        <v/>
      </c>
    </row>
    <row r="218" spans="1:15" x14ac:dyDescent="0.25">
      <c r="A218" s="197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5" t="s">
        <v>796</v>
      </c>
      <c r="G218" s="195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Μερική</v>
      </c>
      <c r="J218" t="str">
        <f t="shared" si="25"/>
        <v/>
      </c>
      <c r="K218" s="197" t="e">
        <f t="shared" si="22"/>
        <v>#NUM!</v>
      </c>
      <c r="L218" t="str">
        <f t="shared" si="23"/>
        <v/>
      </c>
      <c r="M218" t="str">
        <f t="shared" si="24"/>
        <v/>
      </c>
      <c r="N218" s="195" t="str">
        <f t="shared" si="26"/>
        <v/>
      </c>
      <c r="O218" s="195" t="str">
        <f t="shared" si="27"/>
        <v/>
      </c>
    </row>
    <row r="219" spans="1:15" x14ac:dyDescent="0.25">
      <c r="A219" s="197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5" t="s">
        <v>797</v>
      </c>
      <c r="G219" s="195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197" t="e">
        <f t="shared" si="22"/>
        <v>#NUM!</v>
      </c>
      <c r="L219" t="str">
        <f t="shared" si="23"/>
        <v/>
      </c>
      <c r="M219" t="str">
        <f t="shared" si="24"/>
        <v/>
      </c>
      <c r="N219" s="195" t="str">
        <f t="shared" si="26"/>
        <v/>
      </c>
      <c r="O219" s="195" t="str">
        <f t="shared" si="27"/>
        <v/>
      </c>
    </row>
    <row r="220" spans="1:15" x14ac:dyDescent="0.25">
      <c r="A220" s="197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5" t="s">
        <v>798</v>
      </c>
      <c r="G220" s="195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Μερική</v>
      </c>
      <c r="J220" t="str">
        <f t="shared" si="25"/>
        <v/>
      </c>
      <c r="K220" s="197" t="e">
        <f t="shared" si="22"/>
        <v>#NUM!</v>
      </c>
      <c r="L220" t="str">
        <f t="shared" si="23"/>
        <v/>
      </c>
      <c r="M220" t="str">
        <f t="shared" si="24"/>
        <v/>
      </c>
      <c r="N220" s="195" t="str">
        <f t="shared" si="26"/>
        <v/>
      </c>
      <c r="O220" s="195" t="str">
        <f t="shared" si="27"/>
        <v/>
      </c>
    </row>
    <row r="221" spans="1:15" x14ac:dyDescent="0.25">
      <c r="A221" s="197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5" t="s">
        <v>799</v>
      </c>
      <c r="G221" s="195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Μερική</v>
      </c>
      <c r="J221" t="str">
        <f t="shared" si="25"/>
        <v/>
      </c>
      <c r="K221" s="197" t="e">
        <f t="shared" si="22"/>
        <v>#NUM!</v>
      </c>
      <c r="L221" t="str">
        <f t="shared" si="23"/>
        <v/>
      </c>
      <c r="M221" t="str">
        <f t="shared" si="24"/>
        <v/>
      </c>
      <c r="N221" s="195" t="str">
        <f t="shared" si="26"/>
        <v/>
      </c>
      <c r="O221" s="195" t="str">
        <f t="shared" si="27"/>
        <v/>
      </c>
    </row>
    <row r="222" spans="1:15" x14ac:dyDescent="0.25">
      <c r="A222" s="197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5" t="s">
        <v>800</v>
      </c>
      <c r="G222" s="195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Μερική</v>
      </c>
      <c r="J222" t="str">
        <f t="shared" si="25"/>
        <v/>
      </c>
      <c r="K222" s="197" t="e">
        <f t="shared" si="22"/>
        <v>#NUM!</v>
      </c>
      <c r="L222" t="str">
        <f t="shared" si="23"/>
        <v/>
      </c>
      <c r="M222" t="str">
        <f t="shared" si="24"/>
        <v/>
      </c>
      <c r="N222" s="195" t="str">
        <f t="shared" si="26"/>
        <v/>
      </c>
      <c r="O222" s="195" t="str">
        <f t="shared" si="27"/>
        <v/>
      </c>
    </row>
    <row r="223" spans="1:15" x14ac:dyDescent="0.25">
      <c r="A223" s="197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5" t="s">
        <v>801</v>
      </c>
      <c r="G223" s="195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Μερική</v>
      </c>
      <c r="J223" t="str">
        <f t="shared" si="25"/>
        <v/>
      </c>
      <c r="K223" s="197" t="e">
        <f t="shared" si="22"/>
        <v>#NUM!</v>
      </c>
      <c r="L223" t="str">
        <f t="shared" si="23"/>
        <v/>
      </c>
      <c r="M223" t="str">
        <f t="shared" si="24"/>
        <v/>
      </c>
      <c r="N223" s="195" t="str">
        <f t="shared" si="26"/>
        <v/>
      </c>
      <c r="O223" s="195" t="str">
        <f t="shared" si="27"/>
        <v/>
      </c>
    </row>
    <row r="224" spans="1:15" x14ac:dyDescent="0.25">
      <c r="A224" s="197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5" t="s">
        <v>802</v>
      </c>
      <c r="G224" s="195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Μερική</v>
      </c>
      <c r="J224" t="str">
        <f t="shared" si="25"/>
        <v/>
      </c>
      <c r="K224" s="197" t="e">
        <f t="shared" si="22"/>
        <v>#NUM!</v>
      </c>
      <c r="L224" t="str">
        <f t="shared" si="23"/>
        <v/>
      </c>
      <c r="M224" t="str">
        <f t="shared" si="24"/>
        <v/>
      </c>
      <c r="N224" s="195" t="str">
        <f t="shared" si="26"/>
        <v/>
      </c>
      <c r="O224" s="195" t="str">
        <f t="shared" si="27"/>
        <v/>
      </c>
    </row>
    <row r="225" spans="1:15" x14ac:dyDescent="0.25">
      <c r="A225" s="197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5" t="s">
        <v>803</v>
      </c>
      <c r="G225" s="195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197" t="e">
        <f t="shared" si="22"/>
        <v>#NUM!</v>
      </c>
      <c r="L225" t="str">
        <f t="shared" si="23"/>
        <v/>
      </c>
      <c r="M225" t="str">
        <f t="shared" si="24"/>
        <v/>
      </c>
      <c r="N225" s="195" t="str">
        <f t="shared" si="26"/>
        <v/>
      </c>
      <c r="O225" s="195" t="str">
        <f t="shared" si="27"/>
        <v/>
      </c>
    </row>
    <row r="226" spans="1:15" x14ac:dyDescent="0.25">
      <c r="A226" s="197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5" t="s">
        <v>804</v>
      </c>
      <c r="G226" s="195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Μερική</v>
      </c>
      <c r="J226" t="str">
        <f t="shared" si="25"/>
        <v/>
      </c>
      <c r="K226" s="197" t="e">
        <f t="shared" si="22"/>
        <v>#NUM!</v>
      </c>
      <c r="L226" t="str">
        <f t="shared" si="23"/>
        <v/>
      </c>
      <c r="M226" t="str">
        <f t="shared" si="24"/>
        <v/>
      </c>
      <c r="N226" s="195" t="str">
        <f t="shared" si="26"/>
        <v/>
      </c>
      <c r="O226" s="195" t="str">
        <f t="shared" si="27"/>
        <v/>
      </c>
    </row>
    <row r="227" spans="1:15" x14ac:dyDescent="0.25">
      <c r="A227" s="197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5" t="s">
        <v>805</v>
      </c>
      <c r="G227" s="195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197" t="e">
        <f t="shared" si="22"/>
        <v>#NUM!</v>
      </c>
      <c r="L227" t="str">
        <f t="shared" si="23"/>
        <v/>
      </c>
      <c r="M227" t="str">
        <f t="shared" si="24"/>
        <v/>
      </c>
      <c r="N227" s="195" t="str">
        <f t="shared" si="26"/>
        <v/>
      </c>
      <c r="O227" s="195" t="str">
        <f t="shared" si="27"/>
        <v/>
      </c>
    </row>
    <row r="228" spans="1:15" x14ac:dyDescent="0.25">
      <c r="A228" s="197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5" t="s">
        <v>806</v>
      </c>
      <c r="G228" s="195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197" t="e">
        <f t="shared" si="22"/>
        <v>#NUM!</v>
      </c>
      <c r="L228" t="str">
        <f t="shared" si="23"/>
        <v/>
      </c>
      <c r="M228" t="str">
        <f t="shared" si="24"/>
        <v/>
      </c>
      <c r="N228" s="195" t="str">
        <f t="shared" si="26"/>
        <v/>
      </c>
      <c r="O228" s="195" t="str">
        <f t="shared" si="27"/>
        <v/>
      </c>
    </row>
    <row r="229" spans="1:15" x14ac:dyDescent="0.25">
      <c r="A229" s="197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5" t="s">
        <v>807</v>
      </c>
      <c r="G229" s="195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197" t="e">
        <f t="shared" si="22"/>
        <v>#NUM!</v>
      </c>
      <c r="L229" t="str">
        <f t="shared" si="23"/>
        <v/>
      </c>
      <c r="M229" t="str">
        <f t="shared" si="24"/>
        <v/>
      </c>
      <c r="N229" s="195" t="str">
        <f t="shared" si="26"/>
        <v/>
      </c>
      <c r="O229" s="195" t="str">
        <f t="shared" si="27"/>
        <v/>
      </c>
    </row>
    <row r="230" spans="1:15" x14ac:dyDescent="0.25">
      <c r="A230" s="197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5" t="s">
        <v>808</v>
      </c>
      <c r="G230" s="195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Μερική</v>
      </c>
      <c r="J230" t="str">
        <f t="shared" si="25"/>
        <v/>
      </c>
      <c r="K230" s="197" t="e">
        <f t="shared" si="22"/>
        <v>#NUM!</v>
      </c>
      <c r="L230" t="str">
        <f t="shared" si="23"/>
        <v/>
      </c>
      <c r="M230" t="str">
        <f t="shared" si="24"/>
        <v/>
      </c>
      <c r="N230" s="195" t="str">
        <f t="shared" si="26"/>
        <v/>
      </c>
      <c r="O230" s="195" t="str">
        <f t="shared" si="27"/>
        <v/>
      </c>
    </row>
    <row r="231" spans="1:15" x14ac:dyDescent="0.25">
      <c r="A231" s="197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5" t="s">
        <v>809</v>
      </c>
      <c r="G231" s="195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Μερική</v>
      </c>
      <c r="J231" t="str">
        <f t="shared" si="25"/>
        <v/>
      </c>
      <c r="K231" s="197" t="e">
        <f t="shared" si="22"/>
        <v>#NUM!</v>
      </c>
      <c r="L231" t="str">
        <f t="shared" si="23"/>
        <v/>
      </c>
      <c r="M231" t="str">
        <f t="shared" si="24"/>
        <v/>
      </c>
      <c r="N231" s="195" t="str">
        <f t="shared" si="26"/>
        <v/>
      </c>
      <c r="O231" s="195" t="str">
        <f t="shared" si="27"/>
        <v/>
      </c>
    </row>
    <row r="232" spans="1:15" x14ac:dyDescent="0.25">
      <c r="A232" s="197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5" t="s">
        <v>810</v>
      </c>
      <c r="G232" s="195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Μερική</v>
      </c>
      <c r="J232" t="str">
        <f t="shared" si="25"/>
        <v/>
      </c>
      <c r="K232" s="197" t="e">
        <f t="shared" si="22"/>
        <v>#NUM!</v>
      </c>
      <c r="L232" t="str">
        <f t="shared" si="23"/>
        <v/>
      </c>
      <c r="M232" t="str">
        <f t="shared" si="24"/>
        <v/>
      </c>
      <c r="N232" s="195" t="str">
        <f t="shared" si="26"/>
        <v/>
      </c>
      <c r="O232" s="195" t="str">
        <f t="shared" si="27"/>
        <v/>
      </c>
    </row>
    <row r="233" spans="1:15" x14ac:dyDescent="0.25">
      <c r="A233" s="197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5" t="s">
        <v>811</v>
      </c>
      <c r="G233" s="195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Μερική</v>
      </c>
      <c r="J233" t="str">
        <f t="shared" si="25"/>
        <v/>
      </c>
      <c r="K233" s="197" t="e">
        <f t="shared" si="22"/>
        <v>#NUM!</v>
      </c>
      <c r="L233" t="str">
        <f t="shared" si="23"/>
        <v/>
      </c>
      <c r="M233" t="str">
        <f t="shared" si="24"/>
        <v/>
      </c>
      <c r="N233" s="195" t="str">
        <f t="shared" si="26"/>
        <v/>
      </c>
      <c r="O233" s="195" t="str">
        <f t="shared" si="27"/>
        <v/>
      </c>
    </row>
    <row r="234" spans="1:15" x14ac:dyDescent="0.25">
      <c r="A234" s="197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5" t="s">
        <v>812</v>
      </c>
      <c r="G234" s="195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Μερική</v>
      </c>
      <c r="J234" t="str">
        <f t="shared" si="25"/>
        <v/>
      </c>
      <c r="K234" s="197" t="e">
        <f t="shared" si="22"/>
        <v>#NUM!</v>
      </c>
      <c r="L234" t="str">
        <f t="shared" si="23"/>
        <v/>
      </c>
      <c r="M234" t="str">
        <f t="shared" si="24"/>
        <v/>
      </c>
      <c r="N234" s="195" t="str">
        <f t="shared" si="26"/>
        <v/>
      </c>
      <c r="O234" s="195" t="str">
        <f t="shared" si="27"/>
        <v/>
      </c>
    </row>
    <row r="235" spans="1:15" x14ac:dyDescent="0.25">
      <c r="A235" s="197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5" t="s">
        <v>813</v>
      </c>
      <c r="G235" s="195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Μερική</v>
      </c>
      <c r="J235" t="str">
        <f t="shared" si="25"/>
        <v/>
      </c>
      <c r="K235" s="197" t="e">
        <f t="shared" si="22"/>
        <v>#NUM!</v>
      </c>
      <c r="L235" t="str">
        <f t="shared" si="23"/>
        <v/>
      </c>
      <c r="M235" t="str">
        <f t="shared" si="24"/>
        <v/>
      </c>
      <c r="N235" s="195" t="str">
        <f t="shared" si="26"/>
        <v/>
      </c>
      <c r="O235" s="195" t="str">
        <f t="shared" si="27"/>
        <v/>
      </c>
    </row>
    <row r="236" spans="1:15" x14ac:dyDescent="0.25">
      <c r="A236" s="197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5" t="s">
        <v>814</v>
      </c>
      <c r="G236" s="195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197" t="e">
        <f t="shared" si="22"/>
        <v>#NUM!</v>
      </c>
      <c r="L236" t="str">
        <f t="shared" si="23"/>
        <v/>
      </c>
      <c r="M236" t="str">
        <f t="shared" si="24"/>
        <v/>
      </c>
      <c r="N236" s="195" t="str">
        <f t="shared" si="26"/>
        <v/>
      </c>
      <c r="O236" s="195" t="str">
        <f t="shared" si="27"/>
        <v/>
      </c>
    </row>
    <row r="237" spans="1:15" x14ac:dyDescent="0.25">
      <c r="A237" s="197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5" t="s">
        <v>815</v>
      </c>
      <c r="G237" s="195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197" t="e">
        <f t="shared" si="22"/>
        <v>#NUM!</v>
      </c>
      <c r="L237" t="str">
        <f t="shared" si="23"/>
        <v/>
      </c>
      <c r="M237" t="str">
        <f t="shared" si="24"/>
        <v/>
      </c>
      <c r="N237" s="195" t="str">
        <f t="shared" si="26"/>
        <v/>
      </c>
      <c r="O237" s="195" t="str">
        <f t="shared" si="27"/>
        <v/>
      </c>
    </row>
    <row r="238" spans="1:15" x14ac:dyDescent="0.25">
      <c r="A238" s="197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5" t="s">
        <v>816</v>
      </c>
      <c r="G238" s="195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Μερική</v>
      </c>
      <c r="J238" t="str">
        <f t="shared" si="25"/>
        <v/>
      </c>
      <c r="K238" s="197" t="e">
        <f t="shared" si="22"/>
        <v>#NUM!</v>
      </c>
      <c r="L238" t="str">
        <f t="shared" si="23"/>
        <v/>
      </c>
      <c r="M238" t="str">
        <f t="shared" si="24"/>
        <v/>
      </c>
      <c r="N238" s="195" t="str">
        <f t="shared" si="26"/>
        <v/>
      </c>
      <c r="O238" s="195" t="str">
        <f t="shared" si="27"/>
        <v/>
      </c>
    </row>
    <row r="239" spans="1:15" x14ac:dyDescent="0.25">
      <c r="A239" s="197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5" t="s">
        <v>817</v>
      </c>
      <c r="G239" s="195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Μερική</v>
      </c>
      <c r="J239" t="str">
        <f t="shared" si="25"/>
        <v/>
      </c>
      <c r="K239" s="197" t="e">
        <f t="shared" si="22"/>
        <v>#NUM!</v>
      </c>
      <c r="L239" t="str">
        <f t="shared" si="23"/>
        <v/>
      </c>
      <c r="M239" t="str">
        <f t="shared" si="24"/>
        <v/>
      </c>
      <c r="N239" s="195" t="str">
        <f t="shared" si="26"/>
        <v/>
      </c>
      <c r="O239" s="195" t="str">
        <f t="shared" si="27"/>
        <v/>
      </c>
    </row>
    <row r="240" spans="1:15" x14ac:dyDescent="0.25">
      <c r="A240" s="197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5" t="s">
        <v>818</v>
      </c>
      <c r="G240" s="195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197" t="e">
        <f t="shared" si="22"/>
        <v>#NUM!</v>
      </c>
      <c r="L240" t="str">
        <f t="shared" si="23"/>
        <v/>
      </c>
      <c r="M240" t="str">
        <f t="shared" si="24"/>
        <v/>
      </c>
      <c r="N240" s="195" t="str">
        <f t="shared" si="26"/>
        <v/>
      </c>
      <c r="O240" s="195" t="str">
        <f t="shared" si="27"/>
        <v/>
      </c>
    </row>
    <row r="241" spans="1:15" x14ac:dyDescent="0.25">
      <c r="A241" s="197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5" t="s">
        <v>819</v>
      </c>
      <c r="G241" s="195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Μερική</v>
      </c>
      <c r="J241" t="str">
        <f t="shared" si="25"/>
        <v/>
      </c>
      <c r="K241" s="197" t="e">
        <f t="shared" si="22"/>
        <v>#NUM!</v>
      </c>
      <c r="L241" t="str">
        <f t="shared" si="23"/>
        <v/>
      </c>
      <c r="M241" t="str">
        <f t="shared" si="24"/>
        <v/>
      </c>
      <c r="N241" s="195" t="str">
        <f t="shared" si="26"/>
        <v/>
      </c>
      <c r="O241" s="195" t="str">
        <f t="shared" si="27"/>
        <v/>
      </c>
    </row>
    <row r="242" spans="1:15" x14ac:dyDescent="0.25">
      <c r="A242" s="197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5" t="s">
        <v>820</v>
      </c>
      <c r="G242" s="195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7" t="e">
        <f t="shared" si="22"/>
        <v>#NUM!</v>
      </c>
      <c r="L242" t="str">
        <f t="shared" si="23"/>
        <v/>
      </c>
      <c r="M242" t="str">
        <f t="shared" si="24"/>
        <v/>
      </c>
      <c r="N242" s="195" t="str">
        <f t="shared" si="26"/>
        <v/>
      </c>
      <c r="O242" s="195" t="str">
        <f t="shared" si="27"/>
        <v/>
      </c>
    </row>
    <row r="243" spans="1:15" x14ac:dyDescent="0.25">
      <c r="A243" s="197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5" t="s">
        <v>821</v>
      </c>
      <c r="G243" s="195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7" t="e">
        <f t="shared" si="22"/>
        <v>#NUM!</v>
      </c>
      <c r="L243" t="str">
        <f t="shared" si="23"/>
        <v/>
      </c>
      <c r="M243" t="str">
        <f t="shared" si="24"/>
        <v/>
      </c>
      <c r="N243" s="195" t="str">
        <f t="shared" si="26"/>
        <v/>
      </c>
      <c r="O243" s="195" t="str">
        <f t="shared" si="27"/>
        <v/>
      </c>
    </row>
    <row r="244" spans="1:15" x14ac:dyDescent="0.25">
      <c r="A244" s="197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5" t="s">
        <v>822</v>
      </c>
      <c r="G244" s="195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7" t="e">
        <f t="shared" si="22"/>
        <v>#NUM!</v>
      </c>
      <c r="L244" t="str">
        <f t="shared" si="23"/>
        <v/>
      </c>
      <c r="M244" t="str">
        <f t="shared" si="24"/>
        <v/>
      </c>
      <c r="N244" s="195" t="str">
        <f t="shared" si="26"/>
        <v/>
      </c>
      <c r="O244" s="195" t="str">
        <f t="shared" si="27"/>
        <v/>
      </c>
    </row>
    <row r="245" spans="1:15" x14ac:dyDescent="0.25">
      <c r="A245" s="197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5" t="s">
        <v>823</v>
      </c>
      <c r="G245" s="195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197" t="e">
        <f t="shared" si="22"/>
        <v>#NUM!</v>
      </c>
      <c r="L245" t="str">
        <f t="shared" si="23"/>
        <v/>
      </c>
      <c r="M245" t="str">
        <f t="shared" si="24"/>
        <v/>
      </c>
      <c r="N245" s="195" t="str">
        <f t="shared" si="26"/>
        <v/>
      </c>
      <c r="O245" s="195" t="str">
        <f t="shared" si="27"/>
        <v/>
      </c>
    </row>
    <row r="246" spans="1:15" x14ac:dyDescent="0.25">
      <c r="A246" s="197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5" t="s">
        <v>824</v>
      </c>
      <c r="G246" s="195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7" t="e">
        <f t="shared" si="22"/>
        <v>#NUM!</v>
      </c>
      <c r="L246" t="str">
        <f t="shared" si="23"/>
        <v/>
      </c>
      <c r="M246" t="str">
        <f t="shared" si="24"/>
        <v/>
      </c>
      <c r="N246" s="195" t="str">
        <f t="shared" si="26"/>
        <v/>
      </c>
      <c r="O246" s="195" t="str">
        <f t="shared" si="27"/>
        <v/>
      </c>
    </row>
    <row r="247" spans="1:15" x14ac:dyDescent="0.25">
      <c r="A247" s="197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5" t="s">
        <v>825</v>
      </c>
      <c r="G247" s="195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7" t="e">
        <f t="shared" si="22"/>
        <v>#NUM!</v>
      </c>
      <c r="L247" t="str">
        <f t="shared" si="23"/>
        <v/>
      </c>
      <c r="M247" t="str">
        <f t="shared" si="24"/>
        <v/>
      </c>
      <c r="N247" s="195" t="str">
        <f t="shared" si="26"/>
        <v/>
      </c>
      <c r="O247" s="195" t="str">
        <f t="shared" si="27"/>
        <v/>
      </c>
    </row>
    <row r="248" spans="1:15" x14ac:dyDescent="0.25">
      <c r="A248" s="197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5" t="s">
        <v>826</v>
      </c>
      <c r="G248" s="195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197" t="e">
        <f t="shared" si="22"/>
        <v>#NUM!</v>
      </c>
      <c r="L248" t="str">
        <f t="shared" si="23"/>
        <v/>
      </c>
      <c r="M248" t="str">
        <f t="shared" si="24"/>
        <v/>
      </c>
      <c r="N248" s="195" t="str">
        <f t="shared" si="26"/>
        <v/>
      </c>
      <c r="O248" s="195" t="str">
        <f t="shared" si="27"/>
        <v/>
      </c>
    </row>
    <row r="249" spans="1:15" x14ac:dyDescent="0.25">
      <c r="A249" s="197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5" t="s">
        <v>827</v>
      </c>
      <c r="G249" s="195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7" t="e">
        <f t="shared" si="22"/>
        <v>#NUM!</v>
      </c>
      <c r="L249" t="str">
        <f t="shared" si="23"/>
        <v/>
      </c>
      <c r="M249" t="str">
        <f t="shared" si="24"/>
        <v/>
      </c>
      <c r="N249" s="195" t="str">
        <f t="shared" si="26"/>
        <v/>
      </c>
      <c r="O249" s="195" t="str">
        <f t="shared" si="27"/>
        <v/>
      </c>
    </row>
    <row r="250" spans="1:15" x14ac:dyDescent="0.25">
      <c r="A250" s="197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5" t="s">
        <v>828</v>
      </c>
      <c r="G250" s="195">
        <v>14184</v>
      </c>
      <c r="H250" t="str">
        <f>_xlfn.IFNA(INDEX(DimosNaiOxi,MATCH(ΤΚ!E250,DimosNai,0)),"")</f>
        <v>ΝΑΙ</v>
      </c>
      <c r="I250" t="str">
        <f>LOOKUP(B250,ΠΕΡΙΦΕΡΕΙΑ!$A$2:$A$14,ΠΕΡΙΦΕΡΕΙΑ!$B$2:$B$14)</f>
        <v>Μερική</v>
      </c>
      <c r="J250">
        <f t="shared" si="25"/>
        <v>249</v>
      </c>
      <c r="K250" s="197" t="e">
        <f t="shared" si="22"/>
        <v>#NUM!</v>
      </c>
      <c r="L250" t="str">
        <f t="shared" si="23"/>
        <v/>
      </c>
      <c r="M250" t="str">
        <f t="shared" si="24"/>
        <v/>
      </c>
      <c r="N250" s="195" t="str">
        <f t="shared" si="26"/>
        <v/>
      </c>
      <c r="O250" s="195" t="str">
        <f t="shared" si="27"/>
        <v/>
      </c>
    </row>
    <row r="251" spans="1:15" x14ac:dyDescent="0.25">
      <c r="A251" s="197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5" t="s">
        <v>829</v>
      </c>
      <c r="G251" s="195">
        <v>14190</v>
      </c>
      <c r="H251" t="str">
        <f>_xlfn.IFNA(INDEX(DimosNaiOxi,MATCH(ΤΚ!E251,DimosNai,0)),"")</f>
        <v>ΝΑΙ</v>
      </c>
      <c r="I251" t="str">
        <f>LOOKUP(B251,ΠΕΡΙΦΕΡΕΙΑ!$A$2:$A$14,ΠΕΡΙΦΕΡΕΙΑ!$B$2:$B$14)</f>
        <v>Μερική</v>
      </c>
      <c r="J251">
        <f t="shared" si="25"/>
        <v>250</v>
      </c>
      <c r="K251" s="197" t="e">
        <f t="shared" si="22"/>
        <v>#NUM!</v>
      </c>
      <c r="L251" t="str">
        <f t="shared" si="23"/>
        <v/>
      </c>
      <c r="M251" t="str">
        <f t="shared" si="24"/>
        <v/>
      </c>
      <c r="N251" s="195" t="str">
        <f t="shared" si="26"/>
        <v/>
      </c>
      <c r="O251" s="195" t="str">
        <f t="shared" si="27"/>
        <v/>
      </c>
    </row>
    <row r="252" spans="1:15" x14ac:dyDescent="0.25">
      <c r="A252" s="197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5" t="s">
        <v>830</v>
      </c>
      <c r="G252" s="195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7" t="e">
        <f t="shared" si="22"/>
        <v>#NUM!</v>
      </c>
      <c r="L252" t="str">
        <f t="shared" si="23"/>
        <v/>
      </c>
      <c r="M252" t="str">
        <f t="shared" si="24"/>
        <v/>
      </c>
      <c r="N252" s="195" t="str">
        <f t="shared" si="26"/>
        <v/>
      </c>
      <c r="O252" s="195" t="str">
        <f t="shared" si="27"/>
        <v/>
      </c>
    </row>
    <row r="253" spans="1:15" x14ac:dyDescent="0.25">
      <c r="A253" s="197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5" t="s">
        <v>831</v>
      </c>
      <c r="G253" s="195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7" t="e">
        <f t="shared" si="22"/>
        <v>#NUM!</v>
      </c>
      <c r="L253" t="str">
        <f t="shared" si="23"/>
        <v/>
      </c>
      <c r="M253" t="str">
        <f t="shared" si="24"/>
        <v/>
      </c>
      <c r="N253" s="195" t="str">
        <f t="shared" si="26"/>
        <v/>
      </c>
      <c r="O253" s="195" t="str">
        <f t="shared" si="27"/>
        <v/>
      </c>
    </row>
    <row r="254" spans="1:15" x14ac:dyDescent="0.25">
      <c r="A254" s="197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5" t="s">
        <v>832</v>
      </c>
      <c r="G254" s="195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7" t="e">
        <f t="shared" si="22"/>
        <v>#NUM!</v>
      </c>
      <c r="L254" t="str">
        <f t="shared" si="23"/>
        <v/>
      </c>
      <c r="M254" t="str">
        <f t="shared" si="24"/>
        <v/>
      </c>
      <c r="N254" s="195" t="str">
        <f t="shared" si="26"/>
        <v/>
      </c>
      <c r="O254" s="195" t="str">
        <f t="shared" si="27"/>
        <v/>
      </c>
    </row>
    <row r="255" spans="1:15" x14ac:dyDescent="0.25">
      <c r="A255" s="197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5" t="s">
        <v>833</v>
      </c>
      <c r="G255" s="195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7" t="e">
        <f t="shared" si="22"/>
        <v>#NUM!</v>
      </c>
      <c r="L255" t="str">
        <f t="shared" si="23"/>
        <v/>
      </c>
      <c r="M255" t="str">
        <f t="shared" si="24"/>
        <v/>
      </c>
      <c r="N255" s="195" t="str">
        <f t="shared" si="26"/>
        <v/>
      </c>
      <c r="O255" s="195" t="str">
        <f t="shared" si="27"/>
        <v/>
      </c>
    </row>
    <row r="256" spans="1:15" x14ac:dyDescent="0.25">
      <c r="A256" s="197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5" t="s">
        <v>834</v>
      </c>
      <c r="G256" s="195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7" t="e">
        <f t="shared" si="22"/>
        <v>#NUM!</v>
      </c>
      <c r="L256" t="str">
        <f t="shared" si="23"/>
        <v/>
      </c>
      <c r="M256" t="str">
        <f t="shared" si="24"/>
        <v/>
      </c>
      <c r="N256" s="195" t="str">
        <f t="shared" si="26"/>
        <v/>
      </c>
      <c r="O256" s="195" t="str">
        <f t="shared" si="27"/>
        <v/>
      </c>
    </row>
    <row r="257" spans="1:15" x14ac:dyDescent="0.25">
      <c r="A257" s="197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5" t="s">
        <v>835</v>
      </c>
      <c r="G257" s="195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7" t="e">
        <f t="shared" si="22"/>
        <v>#NUM!</v>
      </c>
      <c r="L257" t="str">
        <f t="shared" si="23"/>
        <v/>
      </c>
      <c r="M257" t="str">
        <f t="shared" si="24"/>
        <v/>
      </c>
      <c r="N257" s="195" t="str">
        <f t="shared" si="26"/>
        <v/>
      </c>
      <c r="O257" s="195" t="str">
        <f t="shared" si="27"/>
        <v/>
      </c>
    </row>
    <row r="258" spans="1:15" x14ac:dyDescent="0.25">
      <c r="A258" s="197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5" t="s">
        <v>836</v>
      </c>
      <c r="G258" s="195">
        <v>14254</v>
      </c>
      <c r="H258" t="str">
        <f>_xlfn.IFNA(INDEX(DimosNaiOxi,MATCH(ΤΚ!E258,DimosNai,0)),"")</f>
        <v>ΝΑΙ</v>
      </c>
      <c r="I258" t="str">
        <f>LOOKUP(B258,ΠΕΡΙΦΕΡΕΙΑ!$A$2:$A$14,ΠΕΡΙΦΕΡΕΙΑ!$B$2:$B$14)</f>
        <v>Μερική</v>
      </c>
      <c r="J258">
        <f t="shared" si="25"/>
        <v>257</v>
      </c>
      <c r="K258" s="197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195" t="str">
        <f t="shared" si="26"/>
        <v/>
      </c>
      <c r="O258" s="195" t="str">
        <f t="shared" si="27"/>
        <v/>
      </c>
    </row>
    <row r="259" spans="1:15" x14ac:dyDescent="0.25">
      <c r="A259" s="197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5" t="s">
        <v>837</v>
      </c>
      <c r="G259" s="195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7" t="e">
        <f t="shared" si="29"/>
        <v>#NUM!</v>
      </c>
      <c r="L259" t="str">
        <f t="shared" si="30"/>
        <v/>
      </c>
      <c r="M259" t="str">
        <f t="shared" si="31"/>
        <v/>
      </c>
      <c r="N259" s="195" t="str">
        <f t="shared" ref="N259:N322" si="33">IF(ISNUMBER(K259),LOOKUP(K259,A:A,G:G),"")</f>
        <v/>
      </c>
      <c r="O259" s="195" t="str">
        <f t="shared" ref="O259:O322" si="34">IF(ISNUMBER(K259),LOOKUP(K259,A:A,F:F),"")</f>
        <v/>
      </c>
    </row>
    <row r="260" spans="1:15" x14ac:dyDescent="0.25">
      <c r="A260" s="197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5" t="s">
        <v>838</v>
      </c>
      <c r="G260" s="195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197" t="e">
        <f t="shared" si="29"/>
        <v>#NUM!</v>
      </c>
      <c r="L260" t="str">
        <f t="shared" si="30"/>
        <v/>
      </c>
      <c r="M260" t="str">
        <f t="shared" si="31"/>
        <v/>
      </c>
      <c r="N260" s="195" t="str">
        <f t="shared" si="33"/>
        <v/>
      </c>
      <c r="O260" s="195" t="str">
        <f t="shared" si="34"/>
        <v/>
      </c>
    </row>
    <row r="261" spans="1:15" x14ac:dyDescent="0.25">
      <c r="A261" s="197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5" t="s">
        <v>839</v>
      </c>
      <c r="G261" s="195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7" t="e">
        <f t="shared" si="29"/>
        <v>#NUM!</v>
      </c>
      <c r="L261" t="str">
        <f t="shared" si="30"/>
        <v/>
      </c>
      <c r="M261" t="str">
        <f t="shared" si="31"/>
        <v/>
      </c>
      <c r="N261" s="195" t="str">
        <f t="shared" si="33"/>
        <v/>
      </c>
      <c r="O261" s="195" t="str">
        <f t="shared" si="34"/>
        <v/>
      </c>
    </row>
    <row r="262" spans="1:15" x14ac:dyDescent="0.25">
      <c r="A262" s="197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5" t="s">
        <v>840</v>
      </c>
      <c r="G262" s="195">
        <v>14310</v>
      </c>
      <c r="H262" t="str">
        <f>_xlfn.IFNA(INDEX(DimosNaiOxi,MATCH(ΤΚ!E262,DimosNai,0)),"")</f>
        <v/>
      </c>
      <c r="I262" t="str">
        <f>LOOKUP(B262,ΠΕΡΙΦΕΡΕΙΑ!$A$2:$A$14,ΠΕΡΙΦΕΡΕΙΑ!$B$2:$B$14)</f>
        <v>Μερική</v>
      </c>
      <c r="J262" t="str">
        <f t="shared" si="32"/>
        <v/>
      </c>
      <c r="K262" s="197" t="e">
        <f t="shared" si="29"/>
        <v>#NUM!</v>
      </c>
      <c r="L262" t="str">
        <f t="shared" si="30"/>
        <v/>
      </c>
      <c r="M262" t="str">
        <f t="shared" si="31"/>
        <v/>
      </c>
      <c r="N262" s="195" t="str">
        <f t="shared" si="33"/>
        <v/>
      </c>
      <c r="O262" s="195" t="str">
        <f t="shared" si="34"/>
        <v/>
      </c>
    </row>
    <row r="263" spans="1:15" x14ac:dyDescent="0.25">
      <c r="A263" s="197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5" t="s">
        <v>841</v>
      </c>
      <c r="G263" s="195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7" t="e">
        <f t="shared" si="29"/>
        <v>#NUM!</v>
      </c>
      <c r="L263" t="str">
        <f t="shared" si="30"/>
        <v/>
      </c>
      <c r="M263" t="str">
        <f t="shared" si="31"/>
        <v/>
      </c>
      <c r="N263" s="195" t="str">
        <f t="shared" si="33"/>
        <v/>
      </c>
      <c r="O263" s="195" t="str">
        <f t="shared" si="34"/>
        <v/>
      </c>
    </row>
    <row r="264" spans="1:15" x14ac:dyDescent="0.25">
      <c r="A264" s="197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5" t="s">
        <v>842</v>
      </c>
      <c r="G264" s="195">
        <v>14400</v>
      </c>
      <c r="H264" t="str">
        <f>_xlfn.IFNA(INDEX(DimosNaiOxi,MATCH(ΤΚ!E264,DimosNai,0)),"")</f>
        <v/>
      </c>
      <c r="I264" t="str">
        <f>LOOKUP(B264,ΠΕΡΙΦΕΡΕΙΑ!$A$2:$A$14,ΠΕΡΙΦΕΡΕΙΑ!$B$2:$B$14)</f>
        <v>Μερική</v>
      </c>
      <c r="J264" t="str">
        <f t="shared" si="32"/>
        <v/>
      </c>
      <c r="K264" s="197" t="e">
        <f t="shared" si="29"/>
        <v>#NUM!</v>
      </c>
      <c r="L264" t="str">
        <f t="shared" si="30"/>
        <v/>
      </c>
      <c r="M264" t="str">
        <f t="shared" si="31"/>
        <v/>
      </c>
      <c r="N264" s="195" t="str">
        <f t="shared" si="33"/>
        <v/>
      </c>
      <c r="O264" s="195" t="str">
        <f t="shared" si="34"/>
        <v/>
      </c>
    </row>
    <row r="265" spans="1:15" x14ac:dyDescent="0.25">
      <c r="A265" s="197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5" t="s">
        <v>843</v>
      </c>
      <c r="G265" s="195">
        <v>14364</v>
      </c>
      <c r="H265" t="str">
        <f>_xlfn.IFNA(INDEX(DimosNaiOxi,MATCH(ΤΚ!E265,DimosNai,0)),"")</f>
        <v>ΝΑΙ</v>
      </c>
      <c r="I265" t="str">
        <f>LOOKUP(B265,ΠΕΡΙΦΕΡΕΙΑ!$A$2:$A$14,ΠΕΡΙΦΕΡΕΙΑ!$B$2:$B$14)</f>
        <v>Μερική</v>
      </c>
      <c r="J265">
        <f t="shared" si="32"/>
        <v>264</v>
      </c>
      <c r="K265" s="197" t="e">
        <f t="shared" si="29"/>
        <v>#NUM!</v>
      </c>
      <c r="L265" t="str">
        <f t="shared" si="30"/>
        <v/>
      </c>
      <c r="M265" t="str">
        <f t="shared" si="31"/>
        <v/>
      </c>
      <c r="N265" s="195" t="str">
        <f t="shared" si="33"/>
        <v/>
      </c>
      <c r="O265" s="195" t="str">
        <f t="shared" si="34"/>
        <v/>
      </c>
    </row>
    <row r="266" spans="1:15" x14ac:dyDescent="0.25">
      <c r="A266" s="197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5" t="s">
        <v>844</v>
      </c>
      <c r="G266" s="195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7" t="e">
        <f t="shared" si="29"/>
        <v>#NUM!</v>
      </c>
      <c r="L266" t="str">
        <f t="shared" si="30"/>
        <v/>
      </c>
      <c r="M266" t="str">
        <f t="shared" si="31"/>
        <v/>
      </c>
      <c r="N266" s="195" t="str">
        <f t="shared" si="33"/>
        <v/>
      </c>
      <c r="O266" s="195" t="str">
        <f t="shared" si="34"/>
        <v/>
      </c>
    </row>
    <row r="267" spans="1:15" x14ac:dyDescent="0.25">
      <c r="A267" s="197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5" t="s">
        <v>845</v>
      </c>
      <c r="G267" s="195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7" t="e">
        <f t="shared" si="29"/>
        <v>#NUM!</v>
      </c>
      <c r="L267" t="str">
        <f t="shared" si="30"/>
        <v/>
      </c>
      <c r="M267" t="str">
        <f t="shared" si="31"/>
        <v/>
      </c>
      <c r="N267" s="195" t="str">
        <f t="shared" si="33"/>
        <v/>
      </c>
      <c r="O267" s="195" t="str">
        <f t="shared" si="34"/>
        <v/>
      </c>
    </row>
    <row r="268" spans="1:15" x14ac:dyDescent="0.25">
      <c r="A268" s="197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5" t="s">
        <v>846</v>
      </c>
      <c r="G268" s="195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7" t="e">
        <f t="shared" si="29"/>
        <v>#NUM!</v>
      </c>
      <c r="L268" t="str">
        <f t="shared" si="30"/>
        <v/>
      </c>
      <c r="M268" t="str">
        <f t="shared" si="31"/>
        <v/>
      </c>
      <c r="N268" s="195" t="str">
        <f t="shared" si="33"/>
        <v/>
      </c>
      <c r="O268" s="195" t="str">
        <f t="shared" si="34"/>
        <v/>
      </c>
    </row>
    <row r="269" spans="1:15" x14ac:dyDescent="0.25">
      <c r="A269" s="197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5" t="s">
        <v>847</v>
      </c>
      <c r="G269" s="195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7" t="e">
        <f t="shared" si="29"/>
        <v>#NUM!</v>
      </c>
      <c r="L269" t="str">
        <f t="shared" si="30"/>
        <v/>
      </c>
      <c r="M269" t="str">
        <f t="shared" si="31"/>
        <v/>
      </c>
      <c r="N269" s="195" t="str">
        <f t="shared" si="33"/>
        <v/>
      </c>
      <c r="O269" s="195" t="str">
        <f t="shared" si="34"/>
        <v/>
      </c>
    </row>
    <row r="270" spans="1:15" x14ac:dyDescent="0.25">
      <c r="A270" s="197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5" t="s">
        <v>848</v>
      </c>
      <c r="G270" s="195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7" t="e">
        <f t="shared" si="29"/>
        <v>#NUM!</v>
      </c>
      <c r="L270" t="str">
        <f t="shared" si="30"/>
        <v/>
      </c>
      <c r="M270" t="str">
        <f t="shared" si="31"/>
        <v/>
      </c>
      <c r="N270" s="195" t="str">
        <f t="shared" si="33"/>
        <v/>
      </c>
      <c r="O270" s="195" t="str">
        <f t="shared" si="34"/>
        <v/>
      </c>
    </row>
    <row r="271" spans="1:15" x14ac:dyDescent="0.25">
      <c r="A271" s="197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5" t="s">
        <v>849</v>
      </c>
      <c r="G271" s="195">
        <v>14488</v>
      </c>
      <c r="H271" t="str">
        <f>_xlfn.IFNA(INDEX(DimosNaiOxi,MATCH(ΤΚ!E271,DimosNai,0)),"")</f>
        <v/>
      </c>
      <c r="I271" t="str">
        <f>LOOKUP(B271,ΠΕΡΙΦΕΡΕΙΑ!$A$2:$A$14,ΠΕΡΙΦΕΡΕΙΑ!$B$2:$B$14)</f>
        <v>Μερική</v>
      </c>
      <c r="J271" t="str">
        <f t="shared" si="32"/>
        <v/>
      </c>
      <c r="K271" s="197" t="e">
        <f t="shared" si="29"/>
        <v>#NUM!</v>
      </c>
      <c r="L271" t="str">
        <f t="shared" si="30"/>
        <v/>
      </c>
      <c r="M271" t="str">
        <f t="shared" si="31"/>
        <v/>
      </c>
      <c r="N271" s="195" t="str">
        <f t="shared" si="33"/>
        <v/>
      </c>
      <c r="O271" s="195" t="str">
        <f t="shared" si="34"/>
        <v/>
      </c>
    </row>
    <row r="272" spans="1:15" x14ac:dyDescent="0.25">
      <c r="A272" s="197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5" t="s">
        <v>850</v>
      </c>
      <c r="G272" s="195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7" t="e">
        <f t="shared" si="29"/>
        <v>#NUM!</v>
      </c>
      <c r="L272" t="str">
        <f t="shared" si="30"/>
        <v/>
      </c>
      <c r="M272" t="str">
        <f t="shared" si="31"/>
        <v/>
      </c>
      <c r="N272" s="195" t="str">
        <f t="shared" si="33"/>
        <v/>
      </c>
      <c r="O272" s="195" t="str">
        <f t="shared" si="34"/>
        <v/>
      </c>
    </row>
    <row r="273" spans="1:15" x14ac:dyDescent="0.25">
      <c r="A273" s="197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5" t="s">
        <v>851</v>
      </c>
      <c r="G273" s="195">
        <v>14498</v>
      </c>
      <c r="H273" t="str">
        <f>_xlfn.IFNA(INDEX(DimosNaiOxi,MATCH(ΤΚ!E273,DimosNai,0)),"")</f>
        <v/>
      </c>
      <c r="I273" t="str">
        <f>LOOKUP(B273,ΠΕΡΙΦΕΡΕΙΑ!$A$2:$A$14,ΠΕΡΙΦΕΡΕΙΑ!$B$2:$B$14)</f>
        <v>Μερική</v>
      </c>
      <c r="J273" t="str">
        <f t="shared" si="32"/>
        <v/>
      </c>
      <c r="K273" s="197" t="e">
        <f t="shared" si="29"/>
        <v>#NUM!</v>
      </c>
      <c r="L273" t="str">
        <f t="shared" si="30"/>
        <v/>
      </c>
      <c r="M273" t="str">
        <f t="shared" si="31"/>
        <v/>
      </c>
      <c r="N273" s="195" t="str">
        <f t="shared" si="33"/>
        <v/>
      </c>
      <c r="O273" s="195" t="str">
        <f t="shared" si="34"/>
        <v/>
      </c>
    </row>
    <row r="274" spans="1:15" x14ac:dyDescent="0.25">
      <c r="A274" s="197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5" t="s">
        <v>852</v>
      </c>
      <c r="G274" s="195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7" t="e">
        <f t="shared" si="29"/>
        <v>#NUM!</v>
      </c>
      <c r="L274" t="str">
        <f t="shared" si="30"/>
        <v/>
      </c>
      <c r="M274" t="str">
        <f t="shared" si="31"/>
        <v/>
      </c>
      <c r="N274" s="195" t="str">
        <f t="shared" si="33"/>
        <v/>
      </c>
      <c r="O274" s="195" t="str">
        <f t="shared" si="34"/>
        <v/>
      </c>
    </row>
    <row r="275" spans="1:15" x14ac:dyDescent="0.25">
      <c r="A275" s="197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5" t="s">
        <v>853</v>
      </c>
      <c r="G275" s="195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7" t="e">
        <f t="shared" si="29"/>
        <v>#NUM!</v>
      </c>
      <c r="L275" t="str">
        <f t="shared" si="30"/>
        <v/>
      </c>
      <c r="M275" t="str">
        <f t="shared" si="31"/>
        <v/>
      </c>
      <c r="N275" s="195" t="str">
        <f t="shared" si="33"/>
        <v/>
      </c>
      <c r="O275" s="195" t="str">
        <f t="shared" si="34"/>
        <v/>
      </c>
    </row>
    <row r="276" spans="1:15" x14ac:dyDescent="0.25">
      <c r="A276" s="197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5" t="s">
        <v>854</v>
      </c>
      <c r="G276" s="195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Μερική</v>
      </c>
      <c r="J276" t="str">
        <f t="shared" si="32"/>
        <v/>
      </c>
      <c r="K276" s="197" t="e">
        <f t="shared" si="29"/>
        <v>#NUM!</v>
      </c>
      <c r="L276" t="str">
        <f t="shared" si="30"/>
        <v/>
      </c>
      <c r="M276" t="str">
        <f t="shared" si="31"/>
        <v/>
      </c>
      <c r="N276" s="195" t="str">
        <f t="shared" si="33"/>
        <v/>
      </c>
      <c r="O276" s="195" t="str">
        <f t="shared" si="34"/>
        <v/>
      </c>
    </row>
    <row r="277" spans="1:15" x14ac:dyDescent="0.25">
      <c r="A277" s="197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5" t="s">
        <v>855</v>
      </c>
      <c r="G277" s="195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197" t="e">
        <f t="shared" si="29"/>
        <v>#NUM!</v>
      </c>
      <c r="L277" t="str">
        <f t="shared" si="30"/>
        <v/>
      </c>
      <c r="M277" t="str">
        <f t="shared" si="31"/>
        <v/>
      </c>
      <c r="N277" s="195" t="str">
        <f t="shared" si="33"/>
        <v/>
      </c>
      <c r="O277" s="195" t="str">
        <f t="shared" si="34"/>
        <v/>
      </c>
    </row>
    <row r="278" spans="1:15" x14ac:dyDescent="0.25">
      <c r="A278" s="197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5" t="s">
        <v>856</v>
      </c>
      <c r="G278" s="195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Μερική</v>
      </c>
      <c r="J278" t="str">
        <f t="shared" si="32"/>
        <v/>
      </c>
      <c r="K278" s="197" t="e">
        <f t="shared" si="29"/>
        <v>#NUM!</v>
      </c>
      <c r="L278" t="str">
        <f t="shared" si="30"/>
        <v/>
      </c>
      <c r="M278" t="str">
        <f t="shared" si="31"/>
        <v/>
      </c>
      <c r="N278" s="195" t="str">
        <f t="shared" si="33"/>
        <v/>
      </c>
      <c r="O278" s="195" t="str">
        <f t="shared" si="34"/>
        <v/>
      </c>
    </row>
    <row r="279" spans="1:15" x14ac:dyDescent="0.25">
      <c r="A279" s="197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5" t="s">
        <v>857</v>
      </c>
      <c r="G279" s="195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Μερική</v>
      </c>
      <c r="J279" t="str">
        <f t="shared" si="32"/>
        <v/>
      </c>
      <c r="K279" s="197" t="e">
        <f t="shared" si="29"/>
        <v>#NUM!</v>
      </c>
      <c r="L279" t="str">
        <f t="shared" si="30"/>
        <v/>
      </c>
      <c r="M279" t="str">
        <f t="shared" si="31"/>
        <v/>
      </c>
      <c r="N279" s="195" t="str">
        <f t="shared" si="33"/>
        <v/>
      </c>
      <c r="O279" s="195" t="str">
        <f t="shared" si="34"/>
        <v/>
      </c>
    </row>
    <row r="280" spans="1:15" x14ac:dyDescent="0.25">
      <c r="A280" s="197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5" t="s">
        <v>858</v>
      </c>
      <c r="G280" s="195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Μερική</v>
      </c>
      <c r="J280" t="str">
        <f t="shared" si="32"/>
        <v/>
      </c>
      <c r="K280" s="197" t="e">
        <f t="shared" si="29"/>
        <v>#NUM!</v>
      </c>
      <c r="L280" t="str">
        <f t="shared" si="30"/>
        <v/>
      </c>
      <c r="M280" t="str">
        <f t="shared" si="31"/>
        <v/>
      </c>
      <c r="N280" s="195" t="str">
        <f t="shared" si="33"/>
        <v/>
      </c>
      <c r="O280" s="195" t="str">
        <f t="shared" si="34"/>
        <v/>
      </c>
    </row>
    <row r="281" spans="1:15" x14ac:dyDescent="0.25">
      <c r="A281" s="197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5" t="s">
        <v>859</v>
      </c>
      <c r="G281" s="195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Μερική</v>
      </c>
      <c r="J281" t="str">
        <f t="shared" si="32"/>
        <v/>
      </c>
      <c r="K281" s="197" t="e">
        <f t="shared" si="29"/>
        <v>#NUM!</v>
      </c>
      <c r="L281" t="str">
        <f t="shared" si="30"/>
        <v/>
      </c>
      <c r="M281" t="str">
        <f t="shared" si="31"/>
        <v/>
      </c>
      <c r="N281" s="195" t="str">
        <f t="shared" si="33"/>
        <v/>
      </c>
      <c r="O281" s="195" t="str">
        <f t="shared" si="34"/>
        <v/>
      </c>
    </row>
    <row r="282" spans="1:15" x14ac:dyDescent="0.25">
      <c r="A282" s="197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5" t="s">
        <v>860</v>
      </c>
      <c r="G282" s="195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197" t="e">
        <f t="shared" si="29"/>
        <v>#NUM!</v>
      </c>
      <c r="L282" t="str">
        <f t="shared" si="30"/>
        <v/>
      </c>
      <c r="M282" t="str">
        <f t="shared" si="31"/>
        <v/>
      </c>
      <c r="N282" s="195" t="str">
        <f t="shared" si="33"/>
        <v/>
      </c>
      <c r="O282" s="195" t="str">
        <f t="shared" si="34"/>
        <v/>
      </c>
    </row>
    <row r="283" spans="1:15" x14ac:dyDescent="0.25">
      <c r="A283" s="197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5" t="s">
        <v>861</v>
      </c>
      <c r="G283" s="195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Μερική</v>
      </c>
      <c r="J283" t="str">
        <f t="shared" si="32"/>
        <v/>
      </c>
      <c r="K283" s="197" t="e">
        <f t="shared" si="29"/>
        <v>#NUM!</v>
      </c>
      <c r="L283" t="str">
        <f t="shared" si="30"/>
        <v/>
      </c>
      <c r="M283" t="str">
        <f t="shared" si="31"/>
        <v/>
      </c>
      <c r="N283" s="195" t="str">
        <f t="shared" si="33"/>
        <v/>
      </c>
      <c r="O283" s="195" t="str">
        <f t="shared" si="34"/>
        <v/>
      </c>
    </row>
    <row r="284" spans="1:15" x14ac:dyDescent="0.25">
      <c r="A284" s="197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5" t="s">
        <v>862</v>
      </c>
      <c r="G284" s="195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Μερική</v>
      </c>
      <c r="J284" t="str">
        <f t="shared" si="32"/>
        <v/>
      </c>
      <c r="K284" s="197" t="e">
        <f t="shared" si="29"/>
        <v>#NUM!</v>
      </c>
      <c r="L284" t="str">
        <f t="shared" si="30"/>
        <v/>
      </c>
      <c r="M284" t="str">
        <f t="shared" si="31"/>
        <v/>
      </c>
      <c r="N284" s="195" t="str">
        <f t="shared" si="33"/>
        <v/>
      </c>
      <c r="O284" s="195" t="str">
        <f t="shared" si="34"/>
        <v/>
      </c>
    </row>
    <row r="285" spans="1:15" x14ac:dyDescent="0.25">
      <c r="A285" s="197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5" t="s">
        <v>863</v>
      </c>
      <c r="G285" s="195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Μερική</v>
      </c>
      <c r="J285" t="str">
        <f t="shared" si="32"/>
        <v/>
      </c>
      <c r="K285" s="197" t="e">
        <f t="shared" si="29"/>
        <v>#NUM!</v>
      </c>
      <c r="L285" t="str">
        <f t="shared" si="30"/>
        <v/>
      </c>
      <c r="M285" t="str">
        <f t="shared" si="31"/>
        <v/>
      </c>
      <c r="N285" s="195" t="str">
        <f t="shared" si="33"/>
        <v/>
      </c>
      <c r="O285" s="195" t="str">
        <f t="shared" si="34"/>
        <v/>
      </c>
    </row>
    <row r="286" spans="1:15" x14ac:dyDescent="0.25">
      <c r="A286" s="197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5" t="s">
        <v>864</v>
      </c>
      <c r="G286" s="195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197" t="e">
        <f t="shared" si="29"/>
        <v>#NUM!</v>
      </c>
      <c r="L286" t="str">
        <f t="shared" si="30"/>
        <v/>
      </c>
      <c r="M286" t="str">
        <f t="shared" si="31"/>
        <v/>
      </c>
      <c r="N286" s="195" t="str">
        <f t="shared" si="33"/>
        <v/>
      </c>
      <c r="O286" s="195" t="str">
        <f t="shared" si="34"/>
        <v/>
      </c>
    </row>
    <row r="287" spans="1:15" x14ac:dyDescent="0.25">
      <c r="A287" s="197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5" t="s">
        <v>865</v>
      </c>
      <c r="G287" s="195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197" t="e">
        <f t="shared" si="29"/>
        <v>#NUM!</v>
      </c>
      <c r="L287" t="str">
        <f t="shared" si="30"/>
        <v/>
      </c>
      <c r="M287" t="str">
        <f t="shared" si="31"/>
        <v/>
      </c>
      <c r="N287" s="195" t="str">
        <f t="shared" si="33"/>
        <v/>
      </c>
      <c r="O287" s="195" t="str">
        <f t="shared" si="34"/>
        <v/>
      </c>
    </row>
    <row r="288" spans="1:15" x14ac:dyDescent="0.25">
      <c r="A288" s="197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5" t="s">
        <v>866</v>
      </c>
      <c r="G288" s="195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197" t="e">
        <f t="shared" si="29"/>
        <v>#NUM!</v>
      </c>
      <c r="L288" t="str">
        <f t="shared" si="30"/>
        <v/>
      </c>
      <c r="M288" t="str">
        <f t="shared" si="31"/>
        <v/>
      </c>
      <c r="N288" s="195" t="str">
        <f t="shared" si="33"/>
        <v/>
      </c>
      <c r="O288" s="195" t="str">
        <f t="shared" si="34"/>
        <v/>
      </c>
    </row>
    <row r="289" spans="1:15" x14ac:dyDescent="0.25">
      <c r="A289" s="197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5" t="s">
        <v>867</v>
      </c>
      <c r="G289" s="195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Μερική</v>
      </c>
      <c r="J289" t="str">
        <f t="shared" si="32"/>
        <v/>
      </c>
      <c r="K289" s="197" t="e">
        <f t="shared" si="29"/>
        <v>#NUM!</v>
      </c>
      <c r="L289" t="str">
        <f t="shared" si="30"/>
        <v/>
      </c>
      <c r="M289" t="str">
        <f t="shared" si="31"/>
        <v/>
      </c>
      <c r="N289" s="195" t="str">
        <f t="shared" si="33"/>
        <v/>
      </c>
      <c r="O289" s="195" t="str">
        <f t="shared" si="34"/>
        <v/>
      </c>
    </row>
    <row r="290" spans="1:15" x14ac:dyDescent="0.25">
      <c r="A290" s="197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5" t="s">
        <v>868</v>
      </c>
      <c r="G290" s="195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Μερική</v>
      </c>
      <c r="J290" t="str">
        <f t="shared" si="32"/>
        <v/>
      </c>
      <c r="K290" s="197" t="e">
        <f t="shared" si="29"/>
        <v>#NUM!</v>
      </c>
      <c r="L290" t="str">
        <f t="shared" si="30"/>
        <v/>
      </c>
      <c r="M290" t="str">
        <f t="shared" si="31"/>
        <v/>
      </c>
      <c r="N290" s="195" t="str">
        <f t="shared" si="33"/>
        <v/>
      </c>
      <c r="O290" s="195" t="str">
        <f t="shared" si="34"/>
        <v/>
      </c>
    </row>
    <row r="291" spans="1:15" x14ac:dyDescent="0.25">
      <c r="A291" s="197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5" t="s">
        <v>869</v>
      </c>
      <c r="G291" s="195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Μερική</v>
      </c>
      <c r="J291" t="str">
        <f t="shared" si="32"/>
        <v/>
      </c>
      <c r="K291" s="197" t="e">
        <f t="shared" si="29"/>
        <v>#NUM!</v>
      </c>
      <c r="L291" t="str">
        <f t="shared" si="30"/>
        <v/>
      </c>
      <c r="M291" t="str">
        <f t="shared" si="31"/>
        <v/>
      </c>
      <c r="N291" s="195" t="str">
        <f t="shared" si="33"/>
        <v/>
      </c>
      <c r="O291" s="195" t="str">
        <f t="shared" si="34"/>
        <v/>
      </c>
    </row>
    <row r="292" spans="1:15" x14ac:dyDescent="0.25">
      <c r="A292" s="197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5" t="s">
        <v>870</v>
      </c>
      <c r="G292" s="195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197" t="e">
        <f t="shared" si="29"/>
        <v>#NUM!</v>
      </c>
      <c r="L292" t="str">
        <f t="shared" si="30"/>
        <v/>
      </c>
      <c r="M292" t="str">
        <f t="shared" si="31"/>
        <v/>
      </c>
      <c r="N292" s="195" t="str">
        <f t="shared" si="33"/>
        <v/>
      </c>
      <c r="O292" s="195" t="str">
        <f t="shared" si="34"/>
        <v/>
      </c>
    </row>
    <row r="293" spans="1:15" x14ac:dyDescent="0.25">
      <c r="A293" s="197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5" t="s">
        <v>871</v>
      </c>
      <c r="G293" s="195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Μερική</v>
      </c>
      <c r="J293" t="str">
        <f t="shared" si="32"/>
        <v/>
      </c>
      <c r="K293" s="197" t="e">
        <f t="shared" si="29"/>
        <v>#NUM!</v>
      </c>
      <c r="L293" t="str">
        <f t="shared" si="30"/>
        <v/>
      </c>
      <c r="M293" t="str">
        <f t="shared" si="31"/>
        <v/>
      </c>
      <c r="N293" s="195" t="str">
        <f t="shared" si="33"/>
        <v/>
      </c>
      <c r="O293" s="195" t="str">
        <f t="shared" si="34"/>
        <v/>
      </c>
    </row>
    <row r="294" spans="1:15" x14ac:dyDescent="0.25">
      <c r="A294" s="197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5" t="s">
        <v>872</v>
      </c>
      <c r="G294" s="195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Μερική</v>
      </c>
      <c r="J294" t="str">
        <f t="shared" si="32"/>
        <v/>
      </c>
      <c r="K294" s="197" t="e">
        <f t="shared" si="29"/>
        <v>#NUM!</v>
      </c>
      <c r="L294" t="str">
        <f t="shared" si="30"/>
        <v/>
      </c>
      <c r="M294" t="str">
        <f t="shared" si="31"/>
        <v/>
      </c>
      <c r="N294" s="195" t="str">
        <f t="shared" si="33"/>
        <v/>
      </c>
      <c r="O294" s="195" t="str">
        <f t="shared" si="34"/>
        <v/>
      </c>
    </row>
    <row r="295" spans="1:15" x14ac:dyDescent="0.25">
      <c r="A295" s="197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5" t="s">
        <v>873</v>
      </c>
      <c r="G295" s="195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Μερική</v>
      </c>
      <c r="J295" t="str">
        <f t="shared" si="32"/>
        <v/>
      </c>
      <c r="K295" s="197" t="e">
        <f t="shared" si="29"/>
        <v>#NUM!</v>
      </c>
      <c r="L295" t="str">
        <f t="shared" si="30"/>
        <v/>
      </c>
      <c r="M295" t="str">
        <f t="shared" si="31"/>
        <v/>
      </c>
      <c r="N295" s="195" t="str">
        <f t="shared" si="33"/>
        <v/>
      </c>
      <c r="O295" s="195" t="str">
        <f t="shared" si="34"/>
        <v/>
      </c>
    </row>
    <row r="296" spans="1:15" x14ac:dyDescent="0.25">
      <c r="A296" s="197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5" t="s">
        <v>874</v>
      </c>
      <c r="G296" s="195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Μερική</v>
      </c>
      <c r="J296" t="str">
        <f t="shared" si="32"/>
        <v/>
      </c>
      <c r="K296" s="197" t="e">
        <f t="shared" si="29"/>
        <v>#NUM!</v>
      </c>
      <c r="L296" t="str">
        <f t="shared" si="30"/>
        <v/>
      </c>
      <c r="M296" t="str">
        <f t="shared" si="31"/>
        <v/>
      </c>
      <c r="N296" s="195" t="str">
        <f t="shared" si="33"/>
        <v/>
      </c>
      <c r="O296" s="195" t="str">
        <f t="shared" si="34"/>
        <v/>
      </c>
    </row>
    <row r="297" spans="1:15" x14ac:dyDescent="0.25">
      <c r="A297" s="197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5" t="s">
        <v>875</v>
      </c>
      <c r="G297" s="195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Μερική</v>
      </c>
      <c r="J297" t="str">
        <f t="shared" si="32"/>
        <v/>
      </c>
      <c r="K297" s="197" t="e">
        <f t="shared" si="29"/>
        <v>#NUM!</v>
      </c>
      <c r="L297" t="str">
        <f t="shared" si="30"/>
        <v/>
      </c>
      <c r="M297" t="str">
        <f t="shared" si="31"/>
        <v/>
      </c>
      <c r="N297" s="195" t="str">
        <f t="shared" si="33"/>
        <v/>
      </c>
      <c r="O297" s="195" t="str">
        <f t="shared" si="34"/>
        <v/>
      </c>
    </row>
    <row r="298" spans="1:15" x14ac:dyDescent="0.25">
      <c r="A298" s="197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5" t="s">
        <v>876</v>
      </c>
      <c r="G298" s="195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Μερική</v>
      </c>
      <c r="J298" t="str">
        <f t="shared" si="32"/>
        <v/>
      </c>
      <c r="K298" s="197" t="e">
        <f t="shared" si="29"/>
        <v>#NUM!</v>
      </c>
      <c r="L298" t="str">
        <f t="shared" si="30"/>
        <v/>
      </c>
      <c r="M298" t="str">
        <f t="shared" si="31"/>
        <v/>
      </c>
      <c r="N298" s="195" t="str">
        <f t="shared" si="33"/>
        <v/>
      </c>
      <c r="O298" s="195" t="str">
        <f t="shared" si="34"/>
        <v/>
      </c>
    </row>
    <row r="299" spans="1:15" x14ac:dyDescent="0.25">
      <c r="A299" s="197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5" t="s">
        <v>877</v>
      </c>
      <c r="G299" s="195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197" t="e">
        <f t="shared" si="29"/>
        <v>#NUM!</v>
      </c>
      <c r="L299" t="str">
        <f t="shared" si="30"/>
        <v/>
      </c>
      <c r="M299" t="str">
        <f t="shared" si="31"/>
        <v/>
      </c>
      <c r="N299" s="195" t="str">
        <f t="shared" si="33"/>
        <v/>
      </c>
      <c r="O299" s="195" t="str">
        <f t="shared" si="34"/>
        <v/>
      </c>
    </row>
    <row r="300" spans="1:15" x14ac:dyDescent="0.25">
      <c r="A300" s="197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5" t="s">
        <v>878</v>
      </c>
      <c r="G300" s="195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197" t="e">
        <f t="shared" si="29"/>
        <v>#NUM!</v>
      </c>
      <c r="L300" t="str">
        <f t="shared" si="30"/>
        <v/>
      </c>
      <c r="M300" t="str">
        <f t="shared" si="31"/>
        <v/>
      </c>
      <c r="N300" s="195" t="str">
        <f t="shared" si="33"/>
        <v/>
      </c>
      <c r="O300" s="195" t="str">
        <f t="shared" si="34"/>
        <v/>
      </c>
    </row>
    <row r="301" spans="1:15" x14ac:dyDescent="0.25">
      <c r="A301" s="197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5" t="s">
        <v>879</v>
      </c>
      <c r="G301" s="195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Μερική</v>
      </c>
      <c r="J301" t="str">
        <f t="shared" si="32"/>
        <v/>
      </c>
      <c r="K301" s="197" t="e">
        <f t="shared" si="29"/>
        <v>#NUM!</v>
      </c>
      <c r="L301" t="str">
        <f t="shared" si="30"/>
        <v/>
      </c>
      <c r="M301" t="str">
        <f t="shared" si="31"/>
        <v/>
      </c>
      <c r="N301" s="195" t="str">
        <f t="shared" si="33"/>
        <v/>
      </c>
      <c r="O301" s="195" t="str">
        <f t="shared" si="34"/>
        <v/>
      </c>
    </row>
    <row r="302" spans="1:15" x14ac:dyDescent="0.25">
      <c r="A302" s="197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5" t="s">
        <v>880</v>
      </c>
      <c r="G302" s="195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197" t="e">
        <f t="shared" si="29"/>
        <v>#NUM!</v>
      </c>
      <c r="L302" t="str">
        <f t="shared" si="30"/>
        <v/>
      </c>
      <c r="M302" t="str">
        <f t="shared" si="31"/>
        <v/>
      </c>
      <c r="N302" s="195" t="str">
        <f t="shared" si="33"/>
        <v/>
      </c>
      <c r="O302" s="195" t="str">
        <f t="shared" si="34"/>
        <v/>
      </c>
    </row>
    <row r="303" spans="1:15" x14ac:dyDescent="0.25">
      <c r="A303" s="197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5" t="s">
        <v>881</v>
      </c>
      <c r="G303" s="195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197" t="e">
        <f t="shared" si="29"/>
        <v>#NUM!</v>
      </c>
      <c r="L303" t="str">
        <f t="shared" si="30"/>
        <v/>
      </c>
      <c r="M303" t="str">
        <f t="shared" si="31"/>
        <v/>
      </c>
      <c r="N303" s="195" t="str">
        <f t="shared" si="33"/>
        <v/>
      </c>
      <c r="O303" s="195" t="str">
        <f t="shared" si="34"/>
        <v/>
      </c>
    </row>
    <row r="304" spans="1:15" x14ac:dyDescent="0.25">
      <c r="A304" s="197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5" t="s">
        <v>882</v>
      </c>
      <c r="G304" s="195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Μερική</v>
      </c>
      <c r="J304" t="str">
        <f t="shared" si="32"/>
        <v/>
      </c>
      <c r="K304" s="197" t="e">
        <f t="shared" si="29"/>
        <v>#NUM!</v>
      </c>
      <c r="L304" t="str">
        <f t="shared" si="30"/>
        <v/>
      </c>
      <c r="M304" t="str">
        <f t="shared" si="31"/>
        <v/>
      </c>
      <c r="N304" s="195" t="str">
        <f t="shared" si="33"/>
        <v/>
      </c>
      <c r="O304" s="195" t="str">
        <f t="shared" si="34"/>
        <v/>
      </c>
    </row>
    <row r="305" spans="1:15" x14ac:dyDescent="0.25">
      <c r="A305" s="197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5" t="s">
        <v>883</v>
      </c>
      <c r="G305" s="195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Μερική</v>
      </c>
      <c r="J305" t="str">
        <f t="shared" si="32"/>
        <v/>
      </c>
      <c r="K305" s="197" t="e">
        <f t="shared" si="29"/>
        <v>#NUM!</v>
      </c>
      <c r="L305" t="str">
        <f t="shared" si="30"/>
        <v/>
      </c>
      <c r="M305" t="str">
        <f t="shared" si="31"/>
        <v/>
      </c>
      <c r="N305" s="195" t="str">
        <f t="shared" si="33"/>
        <v/>
      </c>
      <c r="O305" s="195" t="str">
        <f t="shared" si="34"/>
        <v/>
      </c>
    </row>
    <row r="306" spans="1:15" x14ac:dyDescent="0.25">
      <c r="A306" s="197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5" t="s">
        <v>884</v>
      </c>
      <c r="G306" s="195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Μερική</v>
      </c>
      <c r="J306" t="str">
        <f t="shared" si="32"/>
        <v/>
      </c>
      <c r="K306" s="197" t="e">
        <f t="shared" si="29"/>
        <v>#NUM!</v>
      </c>
      <c r="L306" t="str">
        <f t="shared" si="30"/>
        <v/>
      </c>
      <c r="M306" t="str">
        <f t="shared" si="31"/>
        <v/>
      </c>
      <c r="N306" s="195" t="str">
        <f t="shared" si="33"/>
        <v/>
      </c>
      <c r="O306" s="195" t="str">
        <f t="shared" si="34"/>
        <v/>
      </c>
    </row>
    <row r="307" spans="1:15" x14ac:dyDescent="0.25">
      <c r="A307" s="197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5" t="s">
        <v>885</v>
      </c>
      <c r="G307" s="195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197" t="e">
        <f t="shared" si="29"/>
        <v>#NUM!</v>
      </c>
      <c r="L307" t="str">
        <f t="shared" si="30"/>
        <v/>
      </c>
      <c r="M307" t="str">
        <f t="shared" si="31"/>
        <v/>
      </c>
      <c r="N307" s="195" t="str">
        <f t="shared" si="33"/>
        <v/>
      </c>
      <c r="O307" s="195" t="str">
        <f t="shared" si="34"/>
        <v/>
      </c>
    </row>
    <row r="308" spans="1:15" x14ac:dyDescent="0.25">
      <c r="A308" s="197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5" t="s">
        <v>886</v>
      </c>
      <c r="G308" s="195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Μερική</v>
      </c>
      <c r="J308" t="str">
        <f t="shared" si="32"/>
        <v/>
      </c>
      <c r="K308" s="197" t="e">
        <f t="shared" si="29"/>
        <v>#NUM!</v>
      </c>
      <c r="L308" t="str">
        <f t="shared" si="30"/>
        <v/>
      </c>
      <c r="M308" t="str">
        <f t="shared" si="31"/>
        <v/>
      </c>
      <c r="N308" s="195" t="str">
        <f t="shared" si="33"/>
        <v/>
      </c>
      <c r="O308" s="195" t="str">
        <f t="shared" si="34"/>
        <v/>
      </c>
    </row>
    <row r="309" spans="1:15" x14ac:dyDescent="0.25">
      <c r="A309" s="197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5" t="s">
        <v>887</v>
      </c>
      <c r="G309" s="195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Μερική</v>
      </c>
      <c r="J309" t="str">
        <f t="shared" si="32"/>
        <v/>
      </c>
      <c r="K309" s="197" t="e">
        <f t="shared" si="29"/>
        <v>#NUM!</v>
      </c>
      <c r="L309" t="str">
        <f t="shared" si="30"/>
        <v/>
      </c>
      <c r="M309" t="str">
        <f t="shared" si="31"/>
        <v/>
      </c>
      <c r="N309" s="195" t="str">
        <f t="shared" si="33"/>
        <v/>
      </c>
      <c r="O309" s="195" t="str">
        <f t="shared" si="34"/>
        <v/>
      </c>
    </row>
    <row r="310" spans="1:15" x14ac:dyDescent="0.25">
      <c r="A310" s="197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5" t="s">
        <v>888</v>
      </c>
      <c r="G310" s="195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Μερική</v>
      </c>
      <c r="J310" t="str">
        <f t="shared" si="32"/>
        <v/>
      </c>
      <c r="K310" s="197" t="e">
        <f t="shared" si="29"/>
        <v>#NUM!</v>
      </c>
      <c r="L310" t="str">
        <f t="shared" si="30"/>
        <v/>
      </c>
      <c r="M310" t="str">
        <f t="shared" si="31"/>
        <v/>
      </c>
      <c r="N310" s="195" t="str">
        <f t="shared" si="33"/>
        <v/>
      </c>
      <c r="O310" s="195" t="str">
        <f t="shared" si="34"/>
        <v/>
      </c>
    </row>
    <row r="311" spans="1:15" x14ac:dyDescent="0.25">
      <c r="A311" s="197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5" t="s">
        <v>889</v>
      </c>
      <c r="G311" s="195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197" t="e">
        <f t="shared" si="29"/>
        <v>#NUM!</v>
      </c>
      <c r="L311" t="str">
        <f t="shared" si="30"/>
        <v/>
      </c>
      <c r="M311" t="str">
        <f t="shared" si="31"/>
        <v/>
      </c>
      <c r="N311" s="195" t="str">
        <f t="shared" si="33"/>
        <v/>
      </c>
      <c r="O311" s="195" t="str">
        <f t="shared" si="34"/>
        <v/>
      </c>
    </row>
    <row r="312" spans="1:15" x14ac:dyDescent="0.25">
      <c r="A312" s="197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5" t="s">
        <v>890</v>
      </c>
      <c r="G312" s="195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Μερική</v>
      </c>
      <c r="J312" t="str">
        <f t="shared" si="32"/>
        <v/>
      </c>
      <c r="K312" s="197" t="e">
        <f t="shared" si="29"/>
        <v>#NUM!</v>
      </c>
      <c r="L312" t="str">
        <f t="shared" si="30"/>
        <v/>
      </c>
      <c r="M312" t="str">
        <f t="shared" si="31"/>
        <v/>
      </c>
      <c r="N312" s="195" t="str">
        <f t="shared" si="33"/>
        <v/>
      </c>
      <c r="O312" s="195" t="str">
        <f t="shared" si="34"/>
        <v/>
      </c>
    </row>
    <row r="313" spans="1:15" x14ac:dyDescent="0.25">
      <c r="A313" s="197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5" t="s">
        <v>891</v>
      </c>
      <c r="G313" s="195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Μερική</v>
      </c>
      <c r="J313" t="str">
        <f t="shared" si="32"/>
        <v/>
      </c>
      <c r="K313" s="197" t="e">
        <f t="shared" si="29"/>
        <v>#NUM!</v>
      </c>
      <c r="L313" t="str">
        <f t="shared" si="30"/>
        <v/>
      </c>
      <c r="M313" t="str">
        <f t="shared" si="31"/>
        <v/>
      </c>
      <c r="N313" s="195" t="str">
        <f t="shared" si="33"/>
        <v/>
      </c>
      <c r="O313" s="195" t="str">
        <f t="shared" si="34"/>
        <v/>
      </c>
    </row>
    <row r="314" spans="1:15" x14ac:dyDescent="0.25">
      <c r="A314" s="197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5" t="s">
        <v>892</v>
      </c>
      <c r="G314" s="195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197" t="e">
        <f t="shared" si="29"/>
        <v>#NUM!</v>
      </c>
      <c r="L314" t="str">
        <f t="shared" si="30"/>
        <v/>
      </c>
      <c r="M314" t="str">
        <f t="shared" si="31"/>
        <v/>
      </c>
      <c r="N314" s="195" t="str">
        <f t="shared" si="33"/>
        <v/>
      </c>
      <c r="O314" s="195" t="str">
        <f t="shared" si="34"/>
        <v/>
      </c>
    </row>
    <row r="315" spans="1:15" x14ac:dyDescent="0.25">
      <c r="A315" s="197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5" t="s">
        <v>893</v>
      </c>
      <c r="G315" s="195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Μερική</v>
      </c>
      <c r="J315" t="str">
        <f t="shared" si="32"/>
        <v/>
      </c>
      <c r="K315" s="197" t="e">
        <f t="shared" si="29"/>
        <v>#NUM!</v>
      </c>
      <c r="L315" t="str">
        <f t="shared" si="30"/>
        <v/>
      </c>
      <c r="M315" t="str">
        <f t="shared" si="31"/>
        <v/>
      </c>
      <c r="N315" s="195" t="str">
        <f t="shared" si="33"/>
        <v/>
      </c>
      <c r="O315" s="195" t="str">
        <f t="shared" si="34"/>
        <v/>
      </c>
    </row>
    <row r="316" spans="1:15" x14ac:dyDescent="0.25">
      <c r="A316" s="197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5" t="s">
        <v>894</v>
      </c>
      <c r="G316" s="195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197" t="e">
        <f t="shared" si="29"/>
        <v>#NUM!</v>
      </c>
      <c r="L316" t="str">
        <f t="shared" si="30"/>
        <v/>
      </c>
      <c r="M316" t="str">
        <f t="shared" si="31"/>
        <v/>
      </c>
      <c r="N316" s="195" t="str">
        <f t="shared" si="33"/>
        <v/>
      </c>
      <c r="O316" s="195" t="str">
        <f t="shared" si="34"/>
        <v/>
      </c>
    </row>
    <row r="317" spans="1:15" x14ac:dyDescent="0.25">
      <c r="A317" s="197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5" t="s">
        <v>895</v>
      </c>
      <c r="G317" s="195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197" t="e">
        <f t="shared" si="29"/>
        <v>#NUM!</v>
      </c>
      <c r="L317" t="str">
        <f t="shared" si="30"/>
        <v/>
      </c>
      <c r="M317" t="str">
        <f t="shared" si="31"/>
        <v/>
      </c>
      <c r="N317" s="195" t="str">
        <f t="shared" si="33"/>
        <v/>
      </c>
      <c r="O317" s="195" t="str">
        <f t="shared" si="34"/>
        <v/>
      </c>
    </row>
    <row r="318" spans="1:15" x14ac:dyDescent="0.25">
      <c r="A318" s="197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5" t="s">
        <v>896</v>
      </c>
      <c r="G318" s="195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197" t="e">
        <f t="shared" si="29"/>
        <v>#NUM!</v>
      </c>
      <c r="L318" t="str">
        <f t="shared" si="30"/>
        <v/>
      </c>
      <c r="M318" t="str">
        <f t="shared" si="31"/>
        <v/>
      </c>
      <c r="N318" s="195" t="str">
        <f t="shared" si="33"/>
        <v/>
      </c>
      <c r="O318" s="195" t="str">
        <f t="shared" si="34"/>
        <v/>
      </c>
    </row>
    <row r="319" spans="1:15" x14ac:dyDescent="0.25">
      <c r="A319" s="197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5" t="s">
        <v>897</v>
      </c>
      <c r="G319" s="195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Μερική</v>
      </c>
      <c r="J319" t="str">
        <f t="shared" si="32"/>
        <v/>
      </c>
      <c r="K319" s="197" t="e">
        <f t="shared" si="29"/>
        <v>#NUM!</v>
      </c>
      <c r="L319" t="str">
        <f t="shared" si="30"/>
        <v/>
      </c>
      <c r="M319" t="str">
        <f t="shared" si="31"/>
        <v/>
      </c>
      <c r="N319" s="195" t="str">
        <f t="shared" si="33"/>
        <v/>
      </c>
      <c r="O319" s="195" t="str">
        <f t="shared" si="34"/>
        <v/>
      </c>
    </row>
    <row r="320" spans="1:15" x14ac:dyDescent="0.25">
      <c r="A320" s="197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5" t="s">
        <v>898</v>
      </c>
      <c r="G320" s="195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Μερική</v>
      </c>
      <c r="J320" t="str">
        <f t="shared" si="32"/>
        <v/>
      </c>
      <c r="K320" s="197" t="e">
        <f t="shared" si="29"/>
        <v>#NUM!</v>
      </c>
      <c r="L320" t="str">
        <f t="shared" si="30"/>
        <v/>
      </c>
      <c r="M320" t="str">
        <f t="shared" si="31"/>
        <v/>
      </c>
      <c r="N320" s="195" t="str">
        <f t="shared" si="33"/>
        <v/>
      </c>
      <c r="O320" s="195" t="str">
        <f t="shared" si="34"/>
        <v/>
      </c>
    </row>
    <row r="321" spans="1:15" x14ac:dyDescent="0.25">
      <c r="A321" s="197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5" t="s">
        <v>899</v>
      </c>
      <c r="G321" s="195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Μερική</v>
      </c>
      <c r="J321" t="str">
        <f t="shared" si="32"/>
        <v/>
      </c>
      <c r="K321" s="197" t="e">
        <f t="shared" si="29"/>
        <v>#NUM!</v>
      </c>
      <c r="L321" t="str">
        <f t="shared" si="30"/>
        <v/>
      </c>
      <c r="M321" t="str">
        <f t="shared" si="31"/>
        <v/>
      </c>
      <c r="N321" s="195" t="str">
        <f t="shared" si="33"/>
        <v/>
      </c>
      <c r="O321" s="195" t="str">
        <f t="shared" si="34"/>
        <v/>
      </c>
    </row>
    <row r="322" spans="1:15" x14ac:dyDescent="0.25">
      <c r="A322" s="197">
        <v>321</v>
      </c>
      <c r="B322" t="s">
        <v>414</v>
      </c>
      <c r="C322" t="s">
        <v>399</v>
      </c>
      <c r="D322" t="s">
        <v>344</v>
      </c>
      <c r="E322" t="str">
        <f>B322&amp;" - "&amp;D322&amp;", "</f>
        <v xml:space="preserve">ΣΤΕΡΕΑΣ ΕΛΛΑΔΑΣ - ΟΡΧΟΜΕΝΟΥ, </v>
      </c>
      <c r="F322" s="195" t="s">
        <v>900</v>
      </c>
      <c r="G322" s="195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Μερική</v>
      </c>
      <c r="J322" t="str">
        <f t="shared" si="32"/>
        <v/>
      </c>
      <c r="K322" s="197" t="e">
        <f>SMALL(J:J,A322)</f>
        <v>#NUM!</v>
      </c>
      <c r="L322" t="str">
        <f>IF(ISNUMBER(K322),LOOKUP(K322,A:A,B:B),"")</f>
        <v/>
      </c>
      <c r="M322" t="str">
        <f t="shared" si="31"/>
        <v/>
      </c>
      <c r="N322" s="195" t="str">
        <f t="shared" si="33"/>
        <v/>
      </c>
      <c r="O322" s="195" t="str">
        <f t="shared" si="34"/>
        <v/>
      </c>
    </row>
    <row r="323" spans="1:15" x14ac:dyDescent="0.25">
      <c r="A323" s="197">
        <v>322</v>
      </c>
      <c r="B323" t="s">
        <v>414</v>
      </c>
      <c r="C323" t="s">
        <v>400</v>
      </c>
      <c r="D323" t="s">
        <v>352</v>
      </c>
      <c r="E323" t="str">
        <f>B323&amp;" - "&amp;D323&amp;", "</f>
        <v xml:space="preserve">ΣΤΕΡΕΑΣ ΕΛΛΑΔΑΣ - ΣΚΥΡΟΥ, </v>
      </c>
      <c r="F323" s="195" t="s">
        <v>901</v>
      </c>
      <c r="G323" s="195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s="197" t="e">
        <f>SMALL(J:J,A323)</f>
        <v>#NUM!</v>
      </c>
      <c r="L323" t="str">
        <f>IF(ISNUMBER(K323),LOOKUP(K323,A:A,B:B),"")</f>
        <v/>
      </c>
      <c r="M323" t="str">
        <f t="shared" si="31"/>
        <v/>
      </c>
      <c r="N323" s="195" t="str">
        <f>IF(ISNUMBER(K323),LOOKUP(K323,A:A,G:G),"")</f>
        <v/>
      </c>
      <c r="O323" s="195" t="str">
        <f>IF(ISNUMBER(K323),LOOKUP(K323,A:A,F:F),"")</f>
        <v/>
      </c>
    </row>
    <row r="324" spans="1:15" x14ac:dyDescent="0.25">
      <c r="A324" s="197">
        <v>323</v>
      </c>
      <c r="B324" t="s">
        <v>414</v>
      </c>
      <c r="C324" t="s">
        <v>402</v>
      </c>
      <c r="D324" t="s">
        <v>362</v>
      </c>
      <c r="E324" t="str">
        <f>B324&amp;" - "&amp;D324&amp;", "</f>
        <v xml:space="preserve">ΣΤΕΡΕΑΣ ΕΛΛΑΔΑΣ - ΣΤΥΛΙΔΟΣ, </v>
      </c>
      <c r="F324" s="195" t="s">
        <v>902</v>
      </c>
      <c r="G324" s="195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Μερική</v>
      </c>
      <c r="J324" t="str">
        <f>IF(OR(AND(I324="Μερική",H324="ΝΑΙ"),I324="Ολική"),A324,"")</f>
        <v/>
      </c>
      <c r="K324" s="197" t="e">
        <f>SMALL(J:J,A324)</f>
        <v>#NUM!</v>
      </c>
      <c r="L324" t="str">
        <f>IF(ISNUMBER(K324),LOOKUP(K324,A:A,B:B),"")</f>
        <v/>
      </c>
      <c r="M324" t="str">
        <f t="shared" si="31"/>
        <v/>
      </c>
      <c r="N324" s="195" t="str">
        <f>IF(ISNUMBER(K324),LOOKUP(K324,A:A,G:G),"")</f>
        <v/>
      </c>
      <c r="O324" s="195" t="str">
        <f>IF(ISNUMBER(K324),LOOKUP(K324,A:A,F:F),"")</f>
        <v/>
      </c>
    </row>
    <row r="325" spans="1:15" x14ac:dyDescent="0.25">
      <c r="A325" s="197">
        <v>324</v>
      </c>
      <c r="B325" t="s">
        <v>414</v>
      </c>
      <c r="C325" t="s">
        <v>399</v>
      </c>
      <c r="D325" t="s">
        <v>345</v>
      </c>
      <c r="E325" t="str">
        <f>B325&amp;" - "&amp;D325&amp;", "</f>
        <v xml:space="preserve">ΣΤΕΡΕΑΣ ΕΛΛΑΔΑΣ - ΤΑΝΑΓΡΑΣ, </v>
      </c>
      <c r="F325" s="195" t="s">
        <v>903</v>
      </c>
      <c r="G325" s="195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>IF(OR(AND(I325="Μερική",H325="ΝΑΙ"),I325="Ολική"),A325,"")</f>
        <v/>
      </c>
      <c r="K325" s="197" t="e">
        <f>SMALL(J:J,A325)</f>
        <v>#NUM!</v>
      </c>
      <c r="L325" t="str">
        <f>IF(ISNUMBER(K325),LOOKUP(K325,A:A,B:B),"")</f>
        <v/>
      </c>
      <c r="M325" t="str">
        <f t="shared" si="31"/>
        <v/>
      </c>
      <c r="N325" s="195" t="str">
        <f>IF(ISNUMBER(K325),LOOKUP(K325,A:A,G:G),"")</f>
        <v/>
      </c>
      <c r="O325" s="195" t="str">
        <f>IF(ISNUMBER(K325),LOOKUP(K325,A:A,F:F),"")</f>
        <v/>
      </c>
    </row>
    <row r="326" spans="1:15" x14ac:dyDescent="0.25">
      <c r="A326" s="197">
        <v>325</v>
      </c>
      <c r="B326" t="s">
        <v>414</v>
      </c>
      <c r="C326" t="s">
        <v>400</v>
      </c>
      <c r="D326" t="s">
        <v>353</v>
      </c>
      <c r="E326" t="str">
        <f>B326&amp;" - "&amp;D326&amp;", "</f>
        <v xml:space="preserve">ΣΤΕΡΕΑΣ ΕΛΛΑΔΑΣ - ΧΑΛΚΙΔΕΩΝ, </v>
      </c>
      <c r="F326" s="195" t="s">
        <v>904</v>
      </c>
      <c r="G326" s="195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s="197" t="e">
        <f>SMALL(J:J,A326)</f>
        <v>#NUM!</v>
      </c>
      <c r="L326" t="str">
        <f>IF(ISNUMBER(K326),LOOKUP(K326,A:A,B:B),"")</f>
        <v/>
      </c>
      <c r="M326" t="str">
        <f t="shared" si="31"/>
        <v/>
      </c>
      <c r="N326" s="195" t="str">
        <f>IF(ISNUMBER(K326),LOOKUP(K326,A:A,G:G),"")</f>
        <v/>
      </c>
      <c r="O326" s="195" t="str">
        <f>IF(ISNUMBER(K326),LOOKUP(K326,A:A,F:F),"")</f>
        <v/>
      </c>
    </row>
  </sheetData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C15" sqref="C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9" hidden="1" customWidth="1"/>
    <col min="5" max="5" width="24.140625" style="199" hidden="1" customWidth="1"/>
    <col min="6" max="6" width="21.140625" style="199" hidden="1" customWidth="1"/>
    <col min="7" max="7" width="18.7109375" style="199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90" t="s">
        <v>929</v>
      </c>
      <c r="B1" s="190" t="s">
        <v>930</v>
      </c>
      <c r="C1" s="199" t="s">
        <v>907</v>
      </c>
      <c r="D1" s="200" t="s">
        <v>909</v>
      </c>
      <c r="E1" s="200" t="s">
        <v>910</v>
      </c>
      <c r="F1" s="199" t="s">
        <v>911</v>
      </c>
      <c r="G1" s="199" t="s">
        <v>912</v>
      </c>
      <c r="H1" s="201" t="s">
        <v>908</v>
      </c>
      <c r="I1" s="202" t="s">
        <v>913</v>
      </c>
      <c r="J1" s="202" t="s">
        <v>914</v>
      </c>
      <c r="K1" s="202" t="s">
        <v>915</v>
      </c>
      <c r="L1" s="202" t="s">
        <v>916</v>
      </c>
    </row>
    <row r="2" spans="1:12" ht="15.75" thickTop="1" x14ac:dyDescent="0.25">
      <c r="A2" s="191" t="s">
        <v>933</v>
      </c>
      <c r="B2" s="191"/>
      <c r="C2" s="199" t="str">
        <f>IF(A2="","",A2&amp;",")</f>
        <v>ΑΤΤΙΚΗΣ - ΑΘΗΝΑΙΩΝ,</v>
      </c>
      <c r="D2" s="199">
        <f t="shared" ref="D2:D15" si="0">_xlfn.IFNA(INDEX(OrchardIDnai,MATCH(A2,DimosNameNai,0)),"")</f>
        <v>13944</v>
      </c>
      <c r="E2" s="199" t="str">
        <f t="shared" ref="E2:E15" si="1">_xlfn.IFNA(INDEX(OrchardNameNai,MATCH(A2,DimosNameNai,0)),"")</f>
        <v>Αθηναίων</v>
      </c>
      <c r="F2" s="199" t="str">
        <f>IF(D2="","",D2&amp;",")</f>
        <v>13944,</v>
      </c>
      <c r="G2" s="199" t="str">
        <f>IF(E2="","",E2&amp;",")</f>
        <v>Αθηναίων,</v>
      </c>
      <c r="H2" s="201" t="str">
        <f>IF(B2="","",B2&amp;",")</f>
        <v/>
      </c>
      <c r="I2" s="201" t="str">
        <f t="shared" ref="I2:I15" si="2">_xlfn.IFNA(INDEX(OrchardIDnai,MATCH(B2,DimosNameNai,0)),"")</f>
        <v/>
      </c>
      <c r="J2" s="201" t="str">
        <f t="shared" ref="J2:J15" si="3">_xlfn.IFNA(INDEX(OrchardNameNai,MATCH(B2,DimosNameNai,0)),"")</f>
        <v/>
      </c>
      <c r="K2" s="201" t="str">
        <f>IF(I2="","",I2&amp;",")</f>
        <v/>
      </c>
      <c r="L2" s="201" t="str">
        <f>IF(J2="","",J2&amp;",")</f>
        <v/>
      </c>
    </row>
    <row r="3" spans="1:12" x14ac:dyDescent="0.25">
      <c r="A3" s="192" t="s">
        <v>934</v>
      </c>
      <c r="B3" s="192"/>
      <c r="C3" s="199" t="str">
        <f t="shared" ref="C3:C12" si="4">IF(A3="",C2,C2&amp;A3&amp;",")</f>
        <v>ΑΤΤΙΚΗΣ - ΑΘΗΝΑΙΩΝ,ΚΕΝΤΡΙΚΗΣ ΜΑΚΕΔΟΝΙΑΣ - ΠΟΛΥΓΥΡΟΥ,</v>
      </c>
      <c r="D3" s="199">
        <f t="shared" si="0"/>
        <v>14414</v>
      </c>
      <c r="E3" s="199" t="str">
        <f t="shared" si="1"/>
        <v>Πολυγύρου</v>
      </c>
      <c r="F3" s="199" t="str">
        <f t="shared" ref="F3:G12" si="5">IF(D3="",F2,F2&amp;D3&amp;",")</f>
        <v>13944,14414,</v>
      </c>
      <c r="G3" s="199" t="str">
        <f t="shared" si="5"/>
        <v>Αθηναίων,Πολυγύρου,</v>
      </c>
      <c r="H3" s="201" t="str">
        <f t="shared" ref="H3:H12" si="6">IF(B3="",H2,H2&amp;B3&amp;",")</f>
        <v/>
      </c>
      <c r="I3" s="201" t="str">
        <f t="shared" si="2"/>
        <v/>
      </c>
      <c r="J3" s="201" t="str">
        <f t="shared" si="3"/>
        <v/>
      </c>
      <c r="K3" s="201" t="str">
        <f t="shared" ref="K3:K12" si="7">IF(I3="",K2,K2&amp;I3&amp;",")</f>
        <v/>
      </c>
      <c r="L3" s="201" t="str">
        <f t="shared" ref="L3:L12" si="8">IF(J3="",L2,L2&amp;J3&amp;",")</f>
        <v/>
      </c>
    </row>
    <row r="4" spans="1:12" x14ac:dyDescent="0.25">
      <c r="A4" s="192" t="s">
        <v>935</v>
      </c>
      <c r="B4" s="192"/>
      <c r="C4" s="199" t="str">
        <f t="shared" si="4"/>
        <v>ΑΤΤΙΚΗΣ - ΑΘΗΝΑΙΩΝ,ΚΕΝΤΡΙΚΗΣ ΜΑΚΕΔΟΝΙΑΣ - ΠΟΛΥΓΥΡΟΥ,ΝΟΤΙΟΥ ΑΙΓΑΙΟΥ - ΡΟΔΟΥ,</v>
      </c>
      <c r="D4" s="199">
        <f t="shared" si="0"/>
        <v>14436</v>
      </c>
      <c r="E4" s="199" t="str">
        <f t="shared" si="1"/>
        <v>Ρόδου</v>
      </c>
      <c r="F4" s="199" t="str">
        <f t="shared" si="5"/>
        <v>13944,14414,14436,</v>
      </c>
      <c r="G4" s="199" t="str">
        <f t="shared" si="5"/>
        <v>Αθηναίων,Πολυγύρου,Ρόδου,</v>
      </c>
      <c r="H4" s="201" t="str">
        <f t="shared" si="6"/>
        <v/>
      </c>
      <c r="I4" s="201" t="str">
        <f t="shared" si="2"/>
        <v/>
      </c>
      <c r="J4" s="201" t="str">
        <f t="shared" si="3"/>
        <v/>
      </c>
      <c r="K4" s="201" t="str">
        <f t="shared" si="7"/>
        <v/>
      </c>
      <c r="L4" s="201" t="str">
        <f t="shared" si="8"/>
        <v/>
      </c>
    </row>
    <row r="5" spans="1:12" x14ac:dyDescent="0.25">
      <c r="A5" s="192" t="s">
        <v>936</v>
      </c>
      <c r="B5" s="192"/>
      <c r="C5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</v>
      </c>
      <c r="D5" s="199">
        <f t="shared" si="0"/>
        <v>14352</v>
      </c>
      <c r="E5" s="199" t="str">
        <f t="shared" si="1"/>
        <v>Ορεστιάδας</v>
      </c>
      <c r="F5" s="199" t="str">
        <f t="shared" si="5"/>
        <v>13944,14414,14436,14352,</v>
      </c>
      <c r="G5" s="199" t="str">
        <f t="shared" si="5"/>
        <v>Αθηναίων,Πολυγύρου,Ρόδου,Ορεστιάδας,</v>
      </c>
      <c r="H5" s="201" t="str">
        <f t="shared" si="6"/>
        <v/>
      </c>
      <c r="I5" s="201" t="str">
        <f t="shared" si="2"/>
        <v/>
      </c>
      <c r="J5" s="201" t="str">
        <f t="shared" si="3"/>
        <v/>
      </c>
      <c r="K5" s="201" t="str">
        <f t="shared" si="7"/>
        <v/>
      </c>
      <c r="L5" s="201" t="str">
        <f t="shared" si="8"/>
        <v/>
      </c>
    </row>
    <row r="6" spans="1:12" x14ac:dyDescent="0.25">
      <c r="A6" s="192" t="s">
        <v>937</v>
      </c>
      <c r="B6" s="192"/>
      <c r="C6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</v>
      </c>
      <c r="D6" s="199">
        <f t="shared" si="0"/>
        <v>14050</v>
      </c>
      <c r="E6" s="199" t="str">
        <f t="shared" si="1"/>
        <v>Δέλτα</v>
      </c>
      <c r="F6" s="199" t="str">
        <f t="shared" si="5"/>
        <v>13944,14414,14436,14352,14050,</v>
      </c>
      <c r="G6" s="199" t="str">
        <f t="shared" si="5"/>
        <v>Αθηναίων,Πολυγύρου,Ρόδου,Ορεστιάδας,Δέλτα,</v>
      </c>
      <c r="H6" s="201" t="str">
        <f t="shared" si="6"/>
        <v/>
      </c>
      <c r="I6" s="201" t="str">
        <f t="shared" si="2"/>
        <v/>
      </c>
      <c r="J6" s="201" t="str">
        <f t="shared" si="3"/>
        <v/>
      </c>
      <c r="K6" s="201" t="str">
        <f t="shared" si="7"/>
        <v/>
      </c>
      <c r="L6" s="201" t="str">
        <f t="shared" si="8"/>
        <v/>
      </c>
    </row>
    <row r="7" spans="1:12" x14ac:dyDescent="0.25">
      <c r="A7" s="192" t="s">
        <v>938</v>
      </c>
      <c r="B7" s="192"/>
      <c r="C7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</v>
      </c>
      <c r="D7" s="199">
        <f t="shared" si="0"/>
        <v>14178</v>
      </c>
      <c r="E7" s="199" t="str">
        <f t="shared" si="1"/>
        <v>Καλαμάτας</v>
      </c>
      <c r="F7" s="199" t="str">
        <f t="shared" si="5"/>
        <v>13944,14414,14436,14352,14050,14178,</v>
      </c>
      <c r="G7" s="199" t="str">
        <f t="shared" si="5"/>
        <v>Αθηναίων,Πολυγύρου,Ρόδου,Ορεστιάδας,Δέλτα,Καλαμάτας,</v>
      </c>
      <c r="H7" s="201" t="str">
        <f t="shared" si="6"/>
        <v/>
      </c>
      <c r="I7" s="201" t="str">
        <f t="shared" si="2"/>
        <v/>
      </c>
      <c r="J7" s="201" t="str">
        <f t="shared" si="3"/>
        <v/>
      </c>
      <c r="K7" s="201" t="str">
        <f t="shared" si="7"/>
        <v/>
      </c>
      <c r="L7" s="201" t="str">
        <f t="shared" si="8"/>
        <v/>
      </c>
    </row>
    <row r="8" spans="1:12" x14ac:dyDescent="0.25">
      <c r="A8" s="192" t="s">
        <v>939</v>
      </c>
      <c r="B8" s="192"/>
      <c r="C8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</v>
      </c>
      <c r="D8" s="199">
        <f t="shared" si="0"/>
        <v>14122</v>
      </c>
      <c r="E8" s="199" t="str">
        <f t="shared" si="1"/>
        <v>Ηρακλείου</v>
      </c>
      <c r="F8" s="199" t="str">
        <f t="shared" si="5"/>
        <v>13944,14414,14436,14352,14050,14178,14122,</v>
      </c>
      <c r="G8" s="199" t="str">
        <f t="shared" si="5"/>
        <v>Αθηναίων,Πολυγύρου,Ρόδου,Ορεστιάδας,Δέλτα,Καλαμάτας,Ηρακλείου,</v>
      </c>
      <c r="H8" s="201" t="str">
        <f t="shared" si="6"/>
        <v/>
      </c>
      <c r="I8" s="201" t="str">
        <f t="shared" si="2"/>
        <v/>
      </c>
      <c r="J8" s="201" t="str">
        <f t="shared" si="3"/>
        <v/>
      </c>
      <c r="K8" s="201" t="str">
        <f t="shared" si="7"/>
        <v/>
      </c>
      <c r="L8" s="201" t="str">
        <f t="shared" si="8"/>
        <v/>
      </c>
    </row>
    <row r="9" spans="1:12" x14ac:dyDescent="0.25">
      <c r="A9" s="192" t="s">
        <v>940</v>
      </c>
      <c r="B9" s="192"/>
      <c r="C9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</v>
      </c>
      <c r="D9" s="199">
        <f t="shared" si="0"/>
        <v>14446</v>
      </c>
      <c r="E9" s="199" t="str">
        <f t="shared" si="1"/>
        <v>Σάμου</v>
      </c>
      <c r="F9" s="199" t="str">
        <f t="shared" si="5"/>
        <v>13944,14414,14436,14352,14050,14178,14122,14446,</v>
      </c>
      <c r="G9" s="199" t="str">
        <f t="shared" si="5"/>
        <v>Αθηναίων,Πολυγύρου,Ρόδου,Ορεστιάδας,Δέλτα,Καλαμάτας,Ηρακλείου,Σάμου,</v>
      </c>
      <c r="H9" s="201" t="str">
        <f t="shared" si="6"/>
        <v/>
      </c>
      <c r="I9" s="201" t="str">
        <f t="shared" si="2"/>
        <v/>
      </c>
      <c r="J9" s="201" t="str">
        <f t="shared" si="3"/>
        <v/>
      </c>
      <c r="K9" s="201" t="str">
        <f t="shared" si="7"/>
        <v/>
      </c>
      <c r="L9" s="201" t="str">
        <f t="shared" si="8"/>
        <v/>
      </c>
    </row>
    <row r="10" spans="1:12" x14ac:dyDescent="0.25">
      <c r="A10" s="192" t="s">
        <v>941</v>
      </c>
      <c r="B10" s="192"/>
      <c r="C10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</v>
      </c>
      <c r="D10" s="199">
        <f t="shared" si="0"/>
        <v>14520</v>
      </c>
      <c r="E10" s="199" t="str">
        <f t="shared" si="1"/>
        <v>Φλώρινας</v>
      </c>
      <c r="F10" s="199" t="str">
        <f t="shared" si="5"/>
        <v>13944,14414,14436,14352,14050,14178,14122,14446,14520,</v>
      </c>
      <c r="G10" s="199" t="str">
        <f t="shared" si="5"/>
        <v>Αθηναίων,Πολυγύρου,Ρόδου,Ορεστιάδας,Δέλτα,Καλαμάτας,Ηρακλείου,Σάμου,Φλώρινας,</v>
      </c>
      <c r="H10" s="201" t="str">
        <f t="shared" si="6"/>
        <v/>
      </c>
      <c r="I10" s="201" t="str">
        <f t="shared" si="2"/>
        <v/>
      </c>
      <c r="J10" s="201" t="str">
        <f t="shared" si="3"/>
        <v/>
      </c>
      <c r="K10" s="201" t="str">
        <f t="shared" si="7"/>
        <v/>
      </c>
      <c r="L10" s="201" t="str">
        <f t="shared" si="8"/>
        <v/>
      </c>
    </row>
    <row r="11" spans="1:12" x14ac:dyDescent="0.25">
      <c r="A11" s="192" t="s">
        <v>942</v>
      </c>
      <c r="B11" s="192"/>
      <c r="C11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</v>
      </c>
      <c r="D11" s="199">
        <f t="shared" si="0"/>
        <v>14538</v>
      </c>
      <c r="E11" s="199" t="str">
        <f t="shared" si="1"/>
        <v>Χαλκιδέων</v>
      </c>
      <c r="F11" s="199" t="str">
        <f t="shared" si="5"/>
        <v>13944,14414,14436,14352,14050,14178,14122,14446,14520,14538,</v>
      </c>
      <c r="G11" s="199" t="str">
        <f t="shared" si="5"/>
        <v>Αθηναίων,Πολυγύρου,Ρόδου,Ορεστιάδας,Δέλτα,Καλαμάτας,Ηρακλείου,Σάμου,Φλώρινας,Χαλκιδέων,</v>
      </c>
      <c r="H11" s="201" t="str">
        <f t="shared" si="6"/>
        <v/>
      </c>
      <c r="I11" s="201" t="str">
        <f t="shared" si="2"/>
        <v/>
      </c>
      <c r="J11" s="201" t="str">
        <f t="shared" si="3"/>
        <v/>
      </c>
      <c r="K11" s="201" t="str">
        <f t="shared" si="7"/>
        <v/>
      </c>
      <c r="L11" s="201" t="str">
        <f t="shared" si="8"/>
        <v/>
      </c>
    </row>
    <row r="12" spans="1:12" x14ac:dyDescent="0.25">
      <c r="A12" s="192" t="s">
        <v>943</v>
      </c>
      <c r="B12" s="192"/>
      <c r="C12" s="199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</v>
      </c>
      <c r="D12" s="199">
        <f t="shared" si="0"/>
        <v>14366</v>
      </c>
      <c r="E12" s="199" t="str">
        <f t="shared" si="1"/>
        <v>Πατρέων</v>
      </c>
      <c r="F12" s="199" t="str">
        <f t="shared" si="5"/>
        <v>13944,14414,14436,14352,14050,14178,14122,14446,14520,14538,14366,</v>
      </c>
      <c r="G12" s="199" t="str">
        <f t="shared" si="5"/>
        <v>Αθηναίων,Πολυγύρου,Ρόδου,Ορεστιάδας,Δέλτα,Καλαμάτας,Ηρακλείου,Σάμου,Φλώρινας,Χαλκιδέων,Πατρέων,</v>
      </c>
      <c r="H12" s="201" t="str">
        <f t="shared" si="6"/>
        <v/>
      </c>
      <c r="I12" s="201" t="str">
        <f t="shared" si="2"/>
        <v/>
      </c>
      <c r="J12" s="201" t="str">
        <f t="shared" si="3"/>
        <v/>
      </c>
      <c r="K12" s="201" t="str">
        <f t="shared" si="7"/>
        <v/>
      </c>
      <c r="L12" s="201" t="str">
        <f t="shared" si="8"/>
        <v/>
      </c>
    </row>
    <row r="13" spans="1:12" s="219" customFormat="1" x14ac:dyDescent="0.25">
      <c r="A13" s="192" t="s">
        <v>944</v>
      </c>
      <c r="B13" s="192"/>
      <c r="C13" s="199"/>
      <c r="D13" s="199"/>
      <c r="E13" s="199"/>
      <c r="F13" s="199"/>
      <c r="G13" s="199"/>
      <c r="H13" s="201"/>
      <c r="I13" s="201"/>
      <c r="J13" s="201"/>
      <c r="K13" s="201"/>
      <c r="L13" s="201"/>
    </row>
    <row r="14" spans="1:12" x14ac:dyDescent="0.25">
      <c r="A14" s="192" t="s">
        <v>945</v>
      </c>
      <c r="B14" s="192"/>
      <c r="C14" s="199" t="str">
        <f>IF(A14="",C12,C12&amp;A14&amp;",")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</v>
      </c>
      <c r="D14" s="199">
        <f t="shared" si="0"/>
        <v>14034</v>
      </c>
      <c r="E14" s="199" t="str">
        <f t="shared" si="1"/>
        <v>Βόλου</v>
      </c>
      <c r="F14" s="199" t="str">
        <f>IF(D14="",F12,F12&amp;D14&amp;",")</f>
        <v>13944,14414,14436,14352,14050,14178,14122,14446,14520,14538,14366,14034,</v>
      </c>
      <c r="G14" s="199" t="str">
        <f>IF(E14="",G12,G12&amp;E14&amp;",")</f>
        <v>Αθηναίων,Πολυγύρου,Ρόδου,Ορεστιάδας,Δέλτα,Καλαμάτας,Ηρακλείου,Σάμου,Φλώρινας,Χαλκιδέων,Πατρέων,Βόλου,</v>
      </c>
      <c r="H14" s="201" t="str">
        <f>IF(B14="",H12,H12&amp;B14&amp;",")</f>
        <v/>
      </c>
      <c r="I14" s="201" t="str">
        <f t="shared" si="2"/>
        <v/>
      </c>
      <c r="J14" s="201" t="str">
        <f t="shared" si="3"/>
        <v/>
      </c>
      <c r="K14" s="201" t="str">
        <f>IF(I14="",K12,K12&amp;I14&amp;",")</f>
        <v/>
      </c>
      <c r="L14" s="201" t="str">
        <f>IF(J14="",L12,L12&amp;J14&amp;",")</f>
        <v/>
      </c>
    </row>
    <row r="15" spans="1:12" ht="15.75" thickBot="1" x14ac:dyDescent="0.3">
      <c r="A15" s="193" t="s">
        <v>946</v>
      </c>
      <c r="B15" s="193"/>
      <c r="C15" s="199" t="str">
        <f>IF(LEN(C14)&gt;1,IF(A15="",LEFT(C14,LEN(C14)-1),C14&amp;A15),IF(A15="","",A15))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D15" s="199">
        <f t="shared" si="0"/>
        <v>14238</v>
      </c>
      <c r="E15" s="199" t="str">
        <f t="shared" si="1"/>
        <v>Λευκάδας</v>
      </c>
      <c r="F15" s="199" t="str">
        <f>IF(LEN(F14)&gt;1,IF(D15="",LEFT(F14,LEN(F14)-1),F14&amp;D15),IF(D15="","",D15))</f>
        <v>13944,14414,14436,14352,14050,14178,14122,14446,14520,14538,14366,14034,14238</v>
      </c>
      <c r="G15" s="199" t="str">
        <f>IF(LEN(G14)&gt;1,IF(E15="",LEFT(G14,LEN(G14)-1),G14&amp;E15),IF(E15="","",E15))</f>
        <v>Αθηναίων,Πολυγύρου,Ρόδου,Ορεστιάδας,Δέλτα,Καλαμάτας,Ηρακλείου,Σάμου,Φλώρινας,Χαλκιδέων,Πατρέων,Βόλου,Λευκάδας</v>
      </c>
      <c r="H15" s="201" t="str">
        <f>IF(LEN(H14)&gt;1,IF(B15="",LEFT(H14,LEN(H14)-1),H14&amp;B15),IF(B15="","",B15))</f>
        <v/>
      </c>
      <c r="I15" s="201" t="str">
        <f t="shared" si="2"/>
        <v/>
      </c>
      <c r="J15" s="201" t="str">
        <f t="shared" si="3"/>
        <v/>
      </c>
      <c r="K15" s="201" t="str">
        <f>IF(LEN(K14)&gt;1,IF(I15="",LEFT(K14,LEN(K14)-1),K14&amp;I15),IF(I15="","",I15))</f>
        <v/>
      </c>
      <c r="L15" s="201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C2" zoomScale="70" zoomScaleNormal="70" workbookViewId="0">
      <selection activeCell="F7" sqref="F7"/>
    </sheetView>
  </sheetViews>
  <sheetFormatPr defaultColWidth="0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4.5703125" style="210" hidden="1" customWidth="1"/>
    <col min="5" max="5" width="23" style="210" hidden="1" customWidth="1"/>
    <col min="6" max="7" width="57.140625" style="164" customWidth="1"/>
    <col min="8" max="8" width="43.140625" style="164" customWidth="1"/>
    <col min="9" max="9" width="32.7109375" style="164" customWidth="1"/>
    <col min="10" max="10" width="25.28515625" style="164" customWidth="1"/>
    <col min="11" max="11" width="18" style="164" hidden="1" customWidth="1"/>
    <col min="12" max="12" width="28.85546875" style="164" customWidth="1"/>
    <col min="13" max="13" width="6.42578125" style="164" customWidth="1"/>
    <col min="14" max="14" width="15.5703125" style="164" customWidth="1"/>
    <col min="15" max="15" width="66.85546875" style="164" customWidth="1"/>
    <col min="16" max="16384" width="9.140625" style="164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7" t="s">
        <v>905</v>
      </c>
      <c r="E1" s="207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11"/>
      <c r="E2" s="211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7" t="s">
        <v>553</v>
      </c>
    </row>
    <row r="3" spans="1:15" ht="30.75" customHeight="1" thickTop="1" x14ac:dyDescent="0.25">
      <c r="A3" s="18" t="s">
        <v>442</v>
      </c>
      <c r="B3" s="45" t="str">
        <f>ΓΕΝΙΚΑ!C4</f>
        <v>FORTHNET</v>
      </c>
      <c r="C3" s="170" t="s">
        <v>435</v>
      </c>
      <c r="D3" s="112" t="str">
        <f>IF(ΓΕΝΙΚΑ!$B$17="ΝΑΙ",15300,"")</f>
        <v/>
      </c>
      <c r="E3" s="112" t="str">
        <f>IF(ΓΕΝΙΚΑ!$B$17="ΝΑΙ","ΠΑΝΕΛΛΑΔΙΚΑ","")</f>
        <v/>
      </c>
      <c r="F3" s="194" t="str">
        <f>'ΤΚ ΜΕΤΡΗΣΕΩΝ B01'!C15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3" s="5" t="s">
        <v>440</v>
      </c>
      <c r="H3" s="5" t="s">
        <v>445</v>
      </c>
      <c r="I3" s="169">
        <v>1</v>
      </c>
      <c r="J3" s="177"/>
      <c r="K3" s="250" t="str">
        <f>IF(ISNUMBER(J3),ROUND(J3,2),"N/A")</f>
        <v>N/A</v>
      </c>
      <c r="L3" s="265" t="s">
        <v>925</v>
      </c>
      <c r="N3" s="95" t="str">
        <f>IF(O3="","","ΣΦΑΛΜΑ")</f>
        <v>ΣΦΑΛΜΑ</v>
      </c>
      <c r="O3" s="96" t="str">
        <f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25">
      <c r="A4" s="14" t="str">
        <f>$A$3</f>
        <v>Β01</v>
      </c>
      <c r="B4" s="15" t="str">
        <f t="shared" ref="B4:B18" si="0">$B$3</f>
        <v>FORTHNET</v>
      </c>
      <c r="C4" s="15" t="str">
        <f>$C$3</f>
        <v>Έμμεση</v>
      </c>
      <c r="D4" s="209" t="str">
        <f>$D$3</f>
        <v/>
      </c>
      <c r="E4" s="209" t="str">
        <f>$E$3</f>
        <v/>
      </c>
      <c r="F4" s="50" t="str">
        <f t="shared" ref="F4:F10" si="1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4" s="5" t="s">
        <v>440</v>
      </c>
      <c r="H4" s="5" t="s">
        <v>446</v>
      </c>
      <c r="I4" s="60">
        <v>1</v>
      </c>
      <c r="J4" s="178"/>
      <c r="K4" s="250" t="str">
        <f t="shared" ref="K4:K18" si="2">IF(ISNUMBER(J4),ROUND(J4,2),"N/A")</f>
        <v>N/A</v>
      </c>
      <c r="L4" s="227" t="str">
        <f>L$3</f>
        <v/>
      </c>
      <c r="N4" s="97" t="str">
        <f t="shared" ref="N4:N18" si="3">IF(O4="","","ΣΦΑΛΜΑ")</f>
        <v>ΣΦΑΛΜΑ</v>
      </c>
      <c r="O4" s="96" t="str">
        <f>CONCATENATE(IF(AND(ISNUMBER(J4)=FALSE),"Η Τιμή (Mbps) πρέπει να είναι αριθμός.",IF(J4&lt;0,"Η Τιμή (Mbps) πρέπει να είναι θετικός αριθμός","")),IF(AND(J4&lt;&gt;"",F4=""),"   |   Το ΤΚ στο οποίο πραγματοποιήθηκαν μετρήσεις πρέπει να συμπληρωθεί",""),"")</f>
        <v>Η Τιμή (Mbps) πρέπει να είναι αριθμός.</v>
      </c>
    </row>
    <row r="5" spans="1:15" ht="30.75" customHeight="1" x14ac:dyDescent="0.25">
      <c r="A5" s="14" t="str">
        <f t="shared" ref="A5:A11" si="4">$A$3</f>
        <v>Β01</v>
      </c>
      <c r="B5" s="15" t="str">
        <f t="shared" si="0"/>
        <v>FORTHNET</v>
      </c>
      <c r="C5" s="15" t="str">
        <f t="shared" ref="C5:C10" si="5">$C$3</f>
        <v>Έμμεση</v>
      </c>
      <c r="D5" s="209" t="str">
        <f t="shared" ref="D5:D10" si="6">$D$3</f>
        <v/>
      </c>
      <c r="E5" s="209" t="str">
        <f t="shared" ref="E5:E10" si="7">$E$3</f>
        <v/>
      </c>
      <c r="F5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5" s="7" t="s">
        <v>482</v>
      </c>
      <c r="H5" s="5" t="s">
        <v>445</v>
      </c>
      <c r="I5" s="60">
        <v>1</v>
      </c>
      <c r="J5" s="178"/>
      <c r="K5" s="250" t="str">
        <f t="shared" si="2"/>
        <v>N/A</v>
      </c>
      <c r="L5" s="227" t="str">
        <f t="shared" ref="L5:L18" si="8">L$3</f>
        <v/>
      </c>
      <c r="N5" s="97" t="str">
        <f t="shared" si="3"/>
        <v>ΣΦΑΛΜΑ</v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25">
      <c r="A6" s="14" t="str">
        <f t="shared" si="4"/>
        <v>Β01</v>
      </c>
      <c r="B6" s="15" t="str">
        <f t="shared" si="0"/>
        <v>FORTHNET</v>
      </c>
      <c r="C6" s="15" t="str">
        <f t="shared" si="5"/>
        <v>Έμμεση</v>
      </c>
      <c r="D6" s="209" t="str">
        <f t="shared" si="6"/>
        <v/>
      </c>
      <c r="E6" s="209" t="str">
        <f t="shared" si="7"/>
        <v/>
      </c>
      <c r="F6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6" s="7" t="s">
        <v>482</v>
      </c>
      <c r="H6" s="5" t="s">
        <v>446</v>
      </c>
      <c r="I6" s="60">
        <v>1</v>
      </c>
      <c r="J6" s="178"/>
      <c r="K6" s="250" t="str">
        <f t="shared" si="2"/>
        <v>N/A</v>
      </c>
      <c r="L6" s="227" t="str">
        <f t="shared" si="8"/>
        <v/>
      </c>
      <c r="N6" s="97" t="str">
        <f t="shared" si="3"/>
        <v>ΣΦΑΛΜΑ</v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25">
      <c r="A7" s="14" t="str">
        <f t="shared" si="4"/>
        <v>Β01</v>
      </c>
      <c r="B7" s="15" t="str">
        <f t="shared" si="0"/>
        <v>FORTHNET</v>
      </c>
      <c r="C7" s="15" t="str">
        <f t="shared" si="5"/>
        <v>Έμμεση</v>
      </c>
      <c r="D7" s="209" t="str">
        <f t="shared" si="6"/>
        <v/>
      </c>
      <c r="E7" s="209" t="str">
        <f t="shared" si="7"/>
        <v/>
      </c>
      <c r="F7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7" s="7" t="s">
        <v>441</v>
      </c>
      <c r="H7" s="5" t="s">
        <v>445</v>
      </c>
      <c r="I7" s="60">
        <v>1</v>
      </c>
      <c r="J7" s="178"/>
      <c r="K7" s="250" t="str">
        <f t="shared" si="2"/>
        <v>N/A</v>
      </c>
      <c r="L7" s="227" t="str">
        <f t="shared" si="8"/>
        <v/>
      </c>
      <c r="N7" s="97" t="str">
        <f t="shared" si="3"/>
        <v>ΣΦΑΛΜΑ</v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25">
      <c r="A8" s="14" t="str">
        <f t="shared" si="4"/>
        <v>Β01</v>
      </c>
      <c r="B8" s="15" t="str">
        <f t="shared" si="0"/>
        <v>FORTHNET</v>
      </c>
      <c r="C8" s="15" t="str">
        <f t="shared" si="5"/>
        <v>Έμμεση</v>
      </c>
      <c r="D8" s="209" t="str">
        <f t="shared" si="6"/>
        <v/>
      </c>
      <c r="E8" s="209" t="str">
        <f t="shared" si="7"/>
        <v/>
      </c>
      <c r="F8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8" s="7" t="s">
        <v>441</v>
      </c>
      <c r="H8" s="5" t="s">
        <v>446</v>
      </c>
      <c r="I8" s="60">
        <v>1</v>
      </c>
      <c r="J8" s="178"/>
      <c r="K8" s="250" t="str">
        <f t="shared" si="2"/>
        <v>N/A</v>
      </c>
      <c r="L8" s="227" t="str">
        <f t="shared" si="8"/>
        <v/>
      </c>
      <c r="N8" s="97" t="str">
        <f t="shared" si="3"/>
        <v>ΣΦΑΛΜΑ</v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25">
      <c r="A9" s="14" t="str">
        <f t="shared" si="4"/>
        <v>Β01</v>
      </c>
      <c r="B9" s="15" t="str">
        <f t="shared" si="0"/>
        <v>FORTHNET</v>
      </c>
      <c r="C9" s="15" t="str">
        <f t="shared" si="5"/>
        <v>Έμμεση</v>
      </c>
      <c r="D9" s="209" t="str">
        <f t="shared" si="6"/>
        <v/>
      </c>
      <c r="E9" s="209" t="str">
        <f t="shared" si="7"/>
        <v/>
      </c>
      <c r="F9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9" s="7" t="s">
        <v>483</v>
      </c>
      <c r="H9" s="5" t="s">
        <v>445</v>
      </c>
      <c r="I9" s="60">
        <v>1</v>
      </c>
      <c r="J9" s="178"/>
      <c r="K9" s="250" t="str">
        <f t="shared" si="2"/>
        <v>N/A</v>
      </c>
      <c r="L9" s="227" t="str">
        <f t="shared" si="8"/>
        <v/>
      </c>
      <c r="N9" s="97" t="str">
        <f t="shared" si="3"/>
        <v>ΣΦΑΛΜΑ</v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">
      <c r="A10" s="16" t="str">
        <f t="shared" si="4"/>
        <v>Β01</v>
      </c>
      <c r="B10" s="17" t="str">
        <f t="shared" si="0"/>
        <v>FORTHNET</v>
      </c>
      <c r="C10" s="17" t="str">
        <f t="shared" si="5"/>
        <v>Έμμεση</v>
      </c>
      <c r="D10" s="212" t="str">
        <f t="shared" si="6"/>
        <v/>
      </c>
      <c r="E10" s="212" t="str">
        <f t="shared" si="7"/>
        <v/>
      </c>
      <c r="F10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0" s="6" t="s">
        <v>483</v>
      </c>
      <c r="H10" s="13" t="s">
        <v>446</v>
      </c>
      <c r="I10" s="62">
        <v>1</v>
      </c>
      <c r="J10" s="179"/>
      <c r="K10" s="250" t="str">
        <f t="shared" si="2"/>
        <v>N/A</v>
      </c>
      <c r="L10" s="227" t="str">
        <f t="shared" si="8"/>
        <v/>
      </c>
      <c r="N10" s="97" t="str">
        <f t="shared" si="3"/>
        <v>ΣΦΑΛΜΑ</v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25">
      <c r="A11" s="14" t="str">
        <f t="shared" si="4"/>
        <v>Β01</v>
      </c>
      <c r="B11" s="15" t="str">
        <f t="shared" si="0"/>
        <v>FORTHNET</v>
      </c>
      <c r="C11" s="61" t="str">
        <f>$C$3</f>
        <v>Έμμεση</v>
      </c>
      <c r="D11" s="112" t="str">
        <f>IF(ΓΕΝΙΚΑ!$B$17="ΝΑΙ",15300,"")</f>
        <v/>
      </c>
      <c r="E11" s="112" t="str">
        <f>IF(ΓΕΝΙΚΑ!$B$17="ΝΑΙ","ΠΑΝΕΛΛΑΔΙΚΑ","")</f>
        <v/>
      </c>
      <c r="F11" s="194" t="str">
        <f>'ΤΚ ΜΕΤΡΗΣΕΩΝ B01'!H15</f>
        <v/>
      </c>
      <c r="G11" s="5" t="s">
        <v>440</v>
      </c>
      <c r="H11" s="5" t="s">
        <v>445</v>
      </c>
      <c r="I11" s="130"/>
      <c r="J11" s="177"/>
      <c r="K11" s="250" t="str">
        <f t="shared" si="2"/>
        <v>N/A</v>
      </c>
      <c r="L11" s="227" t="str">
        <f t="shared" si="8"/>
        <v/>
      </c>
      <c r="N11" s="97" t="str">
        <f t="shared" si="3"/>
        <v/>
      </c>
      <c r="O11" s="108" t="str">
        <f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FORTHNET</v>
      </c>
      <c r="C12" s="15" t="str">
        <f>$C$3</f>
        <v>Έμμεση</v>
      </c>
      <c r="D12" s="209" t="str">
        <f>$D$11</f>
        <v/>
      </c>
      <c r="E12" s="209" t="str">
        <f>$E$11</f>
        <v/>
      </c>
      <c r="F12" s="50" t="str">
        <f t="shared" ref="F12:F18" si="9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2" s="5" t="s">
        <v>440</v>
      </c>
      <c r="H12" s="5" t="s">
        <v>446</v>
      </c>
      <c r="I12" s="60" t="str">
        <f t="shared" ref="I12:I18" si="10">IF(ISNUMBER($I$11),$I$11,"")</f>
        <v/>
      </c>
      <c r="J12" s="178"/>
      <c r="K12" s="250" t="str">
        <f t="shared" si="2"/>
        <v>N/A</v>
      </c>
      <c r="L12" s="227" t="str">
        <f t="shared" si="8"/>
        <v/>
      </c>
      <c r="N12" s="97" t="str">
        <f t="shared" si="3"/>
        <v/>
      </c>
      <c r="O12" s="108" t="str">
        <f>IF(I12&lt;&gt;"",CONCATENATE(IF(AND(ISNUMBER(J12)=FALSE),"Η Τιμή (Mbps) πρέπει να είναι αριθμός.",IF(J12&lt;0,"Η Τιμή (Mbps) πρέπει να είναι θετικός αριθμός","")),IF(AND(J12&lt;&gt;"",F12=""),"   |   Το ΤΚ στο οποίο πραγματοποιήθηκαν μετρήσεις πρέπει να συμπληρωθεί",""),""),"")</f>
        <v/>
      </c>
    </row>
    <row r="13" spans="1:15" ht="30.75" customHeight="1" x14ac:dyDescent="0.25">
      <c r="A13" s="14" t="str">
        <f t="shared" ref="A13:A18" si="11">$A$3</f>
        <v>Β01</v>
      </c>
      <c r="B13" s="15" t="str">
        <f t="shared" si="0"/>
        <v>FORTHNET</v>
      </c>
      <c r="C13" s="15" t="str">
        <f t="shared" ref="C13:C18" si="12">$C$3</f>
        <v>Έμμεση</v>
      </c>
      <c r="D13" s="209" t="str">
        <f t="shared" ref="D13:D18" si="13">$D$11</f>
        <v/>
      </c>
      <c r="E13" s="209" t="str">
        <f t="shared" ref="E13:E18" si="14">$E$11</f>
        <v/>
      </c>
      <c r="F13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3" s="7" t="s">
        <v>482</v>
      </c>
      <c r="H13" s="5" t="s">
        <v>445</v>
      </c>
      <c r="I13" s="60" t="str">
        <f t="shared" si="10"/>
        <v/>
      </c>
      <c r="J13" s="178"/>
      <c r="K13" s="250" t="str">
        <f t="shared" si="2"/>
        <v>N/A</v>
      </c>
      <c r="L13" s="227" t="str">
        <f t="shared" si="8"/>
        <v/>
      </c>
      <c r="N13" s="97" t="str">
        <f t="shared" si="3"/>
        <v/>
      </c>
      <c r="O13" s="108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1"/>
        <v>Β01</v>
      </c>
      <c r="B14" s="15" t="str">
        <f t="shared" si="0"/>
        <v>FORTHNET</v>
      </c>
      <c r="C14" s="15" t="str">
        <f t="shared" si="12"/>
        <v>Έμμεση</v>
      </c>
      <c r="D14" s="209" t="str">
        <f t="shared" si="13"/>
        <v/>
      </c>
      <c r="E14" s="209" t="str">
        <f t="shared" si="14"/>
        <v/>
      </c>
      <c r="F14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4" s="7" t="s">
        <v>482</v>
      </c>
      <c r="H14" s="5" t="s">
        <v>446</v>
      </c>
      <c r="I14" s="60" t="str">
        <f t="shared" si="10"/>
        <v/>
      </c>
      <c r="J14" s="178"/>
      <c r="K14" s="250" t="str">
        <f t="shared" si="2"/>
        <v>N/A</v>
      </c>
      <c r="L14" s="227" t="str">
        <f t="shared" si="8"/>
        <v/>
      </c>
      <c r="N14" s="97" t="str">
        <f t="shared" si="3"/>
        <v/>
      </c>
      <c r="O14" s="108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1"/>
        <v>Β01</v>
      </c>
      <c r="B15" s="15" t="str">
        <f t="shared" si="0"/>
        <v>FORTHNET</v>
      </c>
      <c r="C15" s="15" t="str">
        <f t="shared" si="12"/>
        <v>Έμμεση</v>
      </c>
      <c r="D15" s="209" t="str">
        <f t="shared" si="13"/>
        <v/>
      </c>
      <c r="E15" s="209" t="str">
        <f t="shared" si="14"/>
        <v/>
      </c>
      <c r="F15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5" s="7" t="s">
        <v>441</v>
      </c>
      <c r="H15" s="5" t="s">
        <v>445</v>
      </c>
      <c r="I15" s="60" t="str">
        <f t="shared" si="10"/>
        <v/>
      </c>
      <c r="J15" s="178"/>
      <c r="K15" s="250" t="str">
        <f t="shared" si="2"/>
        <v>N/A</v>
      </c>
      <c r="L15" s="227" t="str">
        <f t="shared" si="8"/>
        <v/>
      </c>
      <c r="N15" s="97" t="str">
        <f t="shared" si="3"/>
        <v/>
      </c>
      <c r="O15" s="108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1"/>
        <v>Β01</v>
      </c>
      <c r="B16" s="15" t="str">
        <f t="shared" si="0"/>
        <v>FORTHNET</v>
      </c>
      <c r="C16" s="15" t="str">
        <f t="shared" si="12"/>
        <v>Έμμεση</v>
      </c>
      <c r="D16" s="209" t="str">
        <f t="shared" si="13"/>
        <v/>
      </c>
      <c r="E16" s="209" t="str">
        <f t="shared" si="14"/>
        <v/>
      </c>
      <c r="F16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6" s="7" t="s">
        <v>441</v>
      </c>
      <c r="H16" s="5" t="s">
        <v>446</v>
      </c>
      <c r="I16" s="60" t="str">
        <f t="shared" si="10"/>
        <v/>
      </c>
      <c r="J16" s="178"/>
      <c r="K16" s="250" t="str">
        <f t="shared" si="2"/>
        <v>N/A</v>
      </c>
      <c r="L16" s="227" t="str">
        <f t="shared" si="8"/>
        <v/>
      </c>
      <c r="N16" s="97" t="str">
        <f t="shared" si="3"/>
        <v/>
      </c>
      <c r="O16" s="108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1"/>
        <v>Β01</v>
      </c>
      <c r="B17" s="15" t="str">
        <f t="shared" si="0"/>
        <v>FORTHNET</v>
      </c>
      <c r="C17" s="15" t="str">
        <f t="shared" si="12"/>
        <v>Έμμεση</v>
      </c>
      <c r="D17" s="209" t="str">
        <f t="shared" si="13"/>
        <v/>
      </c>
      <c r="E17" s="209" t="str">
        <f t="shared" si="14"/>
        <v/>
      </c>
      <c r="F17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7" s="7" t="s">
        <v>483</v>
      </c>
      <c r="H17" s="5" t="s">
        <v>445</v>
      </c>
      <c r="I17" s="60" t="str">
        <f t="shared" si="10"/>
        <v/>
      </c>
      <c r="J17" s="178"/>
      <c r="K17" s="250" t="str">
        <f t="shared" si="2"/>
        <v>N/A</v>
      </c>
      <c r="L17" s="227" t="str">
        <f t="shared" si="8"/>
        <v/>
      </c>
      <c r="N17" s="97" t="str">
        <f t="shared" si="3"/>
        <v/>
      </c>
      <c r="O17" s="108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1"/>
        <v>Β01</v>
      </c>
      <c r="B18" s="17" t="str">
        <f t="shared" si="0"/>
        <v>FORTHNET</v>
      </c>
      <c r="C18" s="17" t="str">
        <f t="shared" si="12"/>
        <v>Έμμεση</v>
      </c>
      <c r="D18" s="212" t="str">
        <f t="shared" si="13"/>
        <v/>
      </c>
      <c r="E18" s="212" t="str">
        <f t="shared" si="14"/>
        <v/>
      </c>
      <c r="F18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8" s="6" t="s">
        <v>483</v>
      </c>
      <c r="H18" s="13" t="s">
        <v>446</v>
      </c>
      <c r="I18" s="62" t="str">
        <f t="shared" si="10"/>
        <v/>
      </c>
      <c r="J18" s="179"/>
      <c r="K18" s="250" t="str">
        <f t="shared" si="2"/>
        <v>N/A</v>
      </c>
      <c r="L18" s="228" t="str">
        <f t="shared" si="8"/>
        <v/>
      </c>
      <c r="N18" s="98" t="str">
        <f t="shared" si="3"/>
        <v/>
      </c>
      <c r="O18" s="109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zoomScale="85" zoomScaleNormal="85" workbookViewId="0">
      <selection activeCell="D7" sqref="D7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4" width="23" style="164" customWidth="1"/>
    <col min="5" max="6" width="23" style="164" hidden="1" customWidth="1"/>
    <col min="7" max="7" width="42.85546875" style="164" customWidth="1"/>
    <col min="8" max="8" width="23.28515625" style="164" customWidth="1"/>
    <col min="9" max="9" width="23.28515625" style="164" bestFit="1" customWidth="1"/>
    <col min="10" max="10" width="23.28515625" style="164" hidden="1" customWidth="1"/>
    <col min="11" max="11" width="23.28515625" style="164" customWidth="1"/>
    <col min="12" max="12" width="23.28515625" style="164" hidden="1" customWidth="1"/>
    <col min="13" max="13" width="23.28515625" style="164" customWidth="1"/>
    <col min="14" max="14" width="6.7109375" style="164" customWidth="1"/>
    <col min="15" max="15" width="11.85546875" style="164" customWidth="1"/>
    <col min="16" max="16" width="77" style="164" customWidth="1"/>
    <col min="17" max="16384" width="9.140625" style="164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7" t="s">
        <v>550</v>
      </c>
      <c r="M2" s="23" t="s">
        <v>421</v>
      </c>
      <c r="O2" s="47" t="s">
        <v>452</v>
      </c>
      <c r="P2" s="107" t="s">
        <v>553</v>
      </c>
    </row>
    <row r="3" spans="1:16" ht="31.5" customHeight="1" thickTop="1" x14ac:dyDescent="0.25">
      <c r="A3" s="40" t="s">
        <v>455</v>
      </c>
      <c r="B3" s="70" t="str">
        <f>ΓΕΝΙΚΑ!C4</f>
        <v>FORTHNET</v>
      </c>
      <c r="C3" s="110" t="s">
        <v>435</v>
      </c>
      <c r="D3" s="112" t="s">
        <v>555</v>
      </c>
      <c r="E3" s="112" t="str">
        <f>IF(ΓΕΝΙΚΑ!$B$17="ΝΑΙ",15300,"")</f>
        <v/>
      </c>
      <c r="F3" s="112" t="str">
        <f>IF(ΓΕΝΙΚΑ!$B$17="ΝΑΙ","ΠΑΝΕΛΛΑΔΙΚΑ","")</f>
        <v/>
      </c>
      <c r="G3" s="19" t="s">
        <v>456</v>
      </c>
      <c r="H3" s="19" t="s">
        <v>445</v>
      </c>
      <c r="I3" s="113"/>
      <c r="J3" s="84" t="str">
        <f t="shared" ref="J3:J8" si="0">IF(ISNUMBER(I3),ROUND(I3,0),"N/A")</f>
        <v>N/A</v>
      </c>
      <c r="K3" s="116"/>
      <c r="L3" s="84" t="str">
        <f t="shared" ref="L3:L8" si="1">IF(ISNUMBER(K$3),ROUND(K$3,0),"")</f>
        <v/>
      </c>
      <c r="M3" s="266" t="s">
        <v>925</v>
      </c>
      <c r="O3" s="95" t="str">
        <f t="shared" ref="O3:O8" si="2">IF(P3="","","ΣΦΑΛΜΑ")</f>
        <v>ΣΦΑΛΜΑ</v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25">
      <c r="A4" s="42" t="str">
        <f>A3</f>
        <v>B02</v>
      </c>
      <c r="B4" s="68" t="str">
        <f>B3</f>
        <v>FORTHNET</v>
      </c>
      <c r="C4" s="69" t="str">
        <f>C3</f>
        <v>Έμμεση</v>
      </c>
      <c r="D4" s="69" t="s">
        <v>555</v>
      </c>
      <c r="E4" s="112" t="str">
        <f>IF(ΓΕΝΙΚΑ!$B$17="ΝΑΙ",15300,"")</f>
        <v/>
      </c>
      <c r="F4" s="112" t="str">
        <f>IF(ΓΕΝΙΚΑ!$B$17="ΝΑΙ","ΠΑΝΕΛΛΑΔΙΚΑ","")</f>
        <v/>
      </c>
      <c r="G4" s="66" t="s">
        <v>456</v>
      </c>
      <c r="H4" s="20" t="s">
        <v>446</v>
      </c>
      <c r="I4" s="114"/>
      <c r="J4" s="230" t="str">
        <f t="shared" si="0"/>
        <v>N/A</v>
      </c>
      <c r="K4" s="258">
        <f>$K$3</f>
        <v>0</v>
      </c>
      <c r="L4" s="230" t="str">
        <f t="shared" si="1"/>
        <v/>
      </c>
      <c r="M4" s="229" t="str">
        <f>M$3</f>
        <v/>
      </c>
      <c r="O4" s="97" t="str">
        <f t="shared" si="2"/>
        <v>ΣΦΑΛΜΑ</v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25">
      <c r="A5" s="42" t="str">
        <f>A3</f>
        <v>B02</v>
      </c>
      <c r="B5" s="68" t="str">
        <f>B3</f>
        <v>FORTHNET</v>
      </c>
      <c r="C5" s="69" t="str">
        <f>C3</f>
        <v>Έμμεση</v>
      </c>
      <c r="D5" s="69" t="s">
        <v>555</v>
      </c>
      <c r="E5" s="112" t="str">
        <f>IF(ΓΕΝΙΚΑ!$B$17="ΝΑΙ",15300,"")</f>
        <v/>
      </c>
      <c r="F5" s="112" t="str">
        <f>IF(ΓΕΝΙΚΑ!$B$17="ΝΑΙ","ΠΑΝΕΛΛΑΔΙΚΑ","")</f>
        <v/>
      </c>
      <c r="G5" s="66" t="s">
        <v>457</v>
      </c>
      <c r="H5" s="20" t="s">
        <v>445</v>
      </c>
      <c r="I5" s="114"/>
      <c r="J5" s="230" t="str">
        <f t="shared" si="0"/>
        <v>N/A</v>
      </c>
      <c r="K5" s="65">
        <f>$K$3</f>
        <v>0</v>
      </c>
      <c r="L5" s="230" t="str">
        <f t="shared" si="1"/>
        <v/>
      </c>
      <c r="M5" s="229" t="str">
        <f>M$3</f>
        <v/>
      </c>
      <c r="O5" s="97" t="str">
        <f t="shared" si="2"/>
        <v>ΣΦΑΛΜΑ</v>
      </c>
      <c r="P5" s="96" t="str">
        <f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25">
      <c r="A6" s="42" t="str">
        <f>A3</f>
        <v>B02</v>
      </c>
      <c r="B6" s="68" t="str">
        <f>B3</f>
        <v>FORTHNET</v>
      </c>
      <c r="C6" s="69" t="str">
        <f>C3</f>
        <v>Έμμεση</v>
      </c>
      <c r="D6" s="69" t="s">
        <v>555</v>
      </c>
      <c r="E6" s="112" t="str">
        <f>IF(ΓΕΝΙΚΑ!$B$17="ΝΑΙ",15300,"")</f>
        <v/>
      </c>
      <c r="F6" s="112" t="str">
        <f>IF(ΓΕΝΙΚΑ!$B$17="ΝΑΙ","ΠΑΝΕΛΛΑΔΙΚΑ","")</f>
        <v/>
      </c>
      <c r="G6" s="66" t="s">
        <v>457</v>
      </c>
      <c r="H6" s="20" t="s">
        <v>446</v>
      </c>
      <c r="I6" s="114"/>
      <c r="J6" s="230" t="str">
        <f t="shared" si="0"/>
        <v>N/A</v>
      </c>
      <c r="K6" s="65">
        <f>$K$3</f>
        <v>0</v>
      </c>
      <c r="L6" s="230" t="str">
        <f t="shared" si="1"/>
        <v/>
      </c>
      <c r="M6" s="229" t="str">
        <f>M$3</f>
        <v/>
      </c>
      <c r="O6" s="97" t="str">
        <f t="shared" si="2"/>
        <v>ΣΦΑΛΜΑ</v>
      </c>
      <c r="P6" s="96" t="str">
        <f>CONCATENATE(IF(OR(NOT(ISNUMBER(K6)),K6=""),"Το μέσο πλήθος τελικών χρηστών πρέπει να είναι αριθμός.",IF(K6&lt;0,"   |   Το μέσο πλήθος τελικών χρηστών πρέπει να είναι θετικός αριθμός","")),IF(OR(NOT(ISNUMBER(I6)),I6=""),"   |    Η μέση χωρητικότητα (Mbps) πρέπει να είναι αριθμός.",IF(I6&lt;0,"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7" spans="1:16" ht="31.5" customHeight="1" x14ac:dyDescent="0.25">
      <c r="A7" s="42" t="str">
        <f>A3</f>
        <v>B02</v>
      </c>
      <c r="B7" s="68" t="str">
        <f>B3</f>
        <v>FORTHNET</v>
      </c>
      <c r="C7" s="69" t="str">
        <f>C3</f>
        <v>Έμμεση</v>
      </c>
      <c r="D7" s="69" t="s">
        <v>555</v>
      </c>
      <c r="E7" s="112" t="str">
        <f>IF(ΓΕΝΙΚΑ!$B$17="ΝΑΙ",15300,"")</f>
        <v/>
      </c>
      <c r="F7" s="112" t="str">
        <f>IF(ΓΕΝΙΚΑ!$B$17="ΝΑΙ","ΠΑΝΕΛΛΑΔΙΚΑ","")</f>
        <v/>
      </c>
      <c r="G7" s="66" t="s">
        <v>458</v>
      </c>
      <c r="H7" s="20" t="s">
        <v>445</v>
      </c>
      <c r="I7" s="114"/>
      <c r="J7" s="230" t="str">
        <f t="shared" si="0"/>
        <v>N/A</v>
      </c>
      <c r="K7" s="65">
        <f>$K$3</f>
        <v>0</v>
      </c>
      <c r="L7" s="230" t="str">
        <f t="shared" si="1"/>
        <v/>
      </c>
      <c r="M7" s="229" t="str">
        <f>M$3</f>
        <v/>
      </c>
      <c r="O7" s="97" t="str">
        <f t="shared" si="2"/>
        <v>ΣΦΑΛΜΑ</v>
      </c>
      <c r="P7" s="96" t="str">
        <f>CONCATENATE(IF(OR(NOT(ISNUMBER(K7)),K7=""),"Το μέσο πλήθος τελικών χρηστών πρέπει να είναι αριθμός.",IF(K7&lt;0,"   |   Το μέσο πλήθος τελικών χρηστών πρέπει να είναι θετικός αριθμός","")),IF(OR(NOT(ISNUMBER(I7)),I7=""),"   |    Η μέση χωρητικότητα (Mbps) πρέπει να είναι αριθμός.",IF(I7&lt;0,"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8" spans="1:16" ht="31.5" customHeight="1" thickBot="1" x14ac:dyDescent="0.3">
      <c r="A8" s="43" t="str">
        <f>A3</f>
        <v>B02</v>
      </c>
      <c r="B8" s="71" t="str">
        <f>B3</f>
        <v>FORTHNET</v>
      </c>
      <c r="C8" s="72" t="str">
        <f>C3</f>
        <v>Έμμεση</v>
      </c>
      <c r="D8" s="72" t="s">
        <v>555</v>
      </c>
      <c r="E8" s="112" t="str">
        <f>IF(ΓΕΝΙΚΑ!$B$17="ΝΑΙ",15300,"")</f>
        <v/>
      </c>
      <c r="F8" s="112" t="str">
        <f>IF(ΓΕΝΙΚΑ!$B$17="ΝΑΙ","ΠΑΝΕΛΛΑΔΙΚΑ","")</f>
        <v/>
      </c>
      <c r="G8" s="67" t="s">
        <v>458</v>
      </c>
      <c r="H8" s="21" t="s">
        <v>446</v>
      </c>
      <c r="I8" s="115"/>
      <c r="J8" s="230" t="str">
        <f t="shared" si="0"/>
        <v>N/A</v>
      </c>
      <c r="K8" s="73">
        <f>$K$3</f>
        <v>0</v>
      </c>
      <c r="L8" s="230" t="str">
        <f t="shared" si="1"/>
        <v/>
      </c>
      <c r="M8" s="251" t="str">
        <f>M$3</f>
        <v/>
      </c>
      <c r="O8" s="98" t="str">
        <f t="shared" si="2"/>
        <v>ΣΦΑΛΜΑ</v>
      </c>
      <c r="P8" s="111" t="str">
        <f>CONCATENATE(IF(OR(NOT(ISNUMBER(K8)),K8=""),"Το μέσο πλήθος τελικών χρηστών πρέπει να είναι αριθμός.",IF(K8&lt;0,"   |   Το μέσο πλήθος τελικών χρηστών πρέπει να είναι θετικός αριθμός","")),IF(OR(NOT(ISNUMBER(I8)),I8=""),"   |    Η μέση χωρητικότητα (Mbps) πρέπει να είναι αριθμός.",IF(I8&lt;0,"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="85" zoomScaleNormal="85" workbookViewId="0">
      <selection activeCell="C5" sqref="C5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5.140625" style="210" hidden="1" customWidth="1"/>
    <col min="5" max="5" width="40" style="210" hidden="1" customWidth="1"/>
    <col min="6" max="6" width="60" style="164" customWidth="1"/>
    <col min="7" max="7" width="21.42578125" style="164" customWidth="1"/>
    <col min="8" max="8" width="17.28515625" style="164" customWidth="1"/>
    <col min="9" max="9" width="36.140625" style="164" customWidth="1"/>
    <col min="10" max="10" width="24" style="164" hidden="1" customWidth="1"/>
    <col min="11" max="11" width="24" style="164" customWidth="1"/>
    <col min="12" max="12" width="5.42578125" style="164" customWidth="1"/>
    <col min="13" max="13" width="13" style="164" customWidth="1"/>
    <col min="14" max="14" width="82.5703125" style="164" customWidth="1"/>
    <col min="15" max="16384" width="9.140625" style="164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7" t="s">
        <v>905</v>
      </c>
      <c r="E1" s="207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71" customFormat="1" ht="34.5" customHeight="1" thickBot="1" x14ac:dyDescent="0.3">
      <c r="A2" s="3" t="s">
        <v>422</v>
      </c>
      <c r="B2" s="4" t="s">
        <v>28</v>
      </c>
      <c r="C2" s="4" t="s">
        <v>433</v>
      </c>
      <c r="D2" s="208"/>
      <c r="E2" s="208"/>
      <c r="F2" s="4" t="s">
        <v>554</v>
      </c>
      <c r="G2" s="221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FORTHNET</v>
      </c>
      <c r="C3" s="92" t="s">
        <v>435</v>
      </c>
      <c r="D3" s="209" t="s">
        <v>923</v>
      </c>
      <c r="E3" s="268" t="s">
        <v>925</v>
      </c>
      <c r="F3" s="305" t="s">
        <v>947</v>
      </c>
      <c r="G3" s="270" t="s">
        <v>925</v>
      </c>
      <c r="H3" s="58" t="s">
        <v>486</v>
      </c>
      <c r="I3" s="141">
        <f>$I$5</f>
        <v>0</v>
      </c>
      <c r="J3" s="249" t="str">
        <f>IF(ISNUMBER(I$5),ROUND(I$5,2),"N/A")</f>
        <v>N/A</v>
      </c>
      <c r="K3" s="269" t="s">
        <v>925</v>
      </c>
      <c r="M3" s="95" t="str">
        <f>IF(N3="","","ΣΦΑΛΜΑ")</f>
        <v/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7" t="str">
        <f>$A$3</f>
        <v>B03</v>
      </c>
      <c r="B4" s="88" t="str">
        <f>$B$3</f>
        <v>FORTHNET</v>
      </c>
      <c r="C4" s="91" t="str">
        <f>$C$3</f>
        <v>Έμμεση</v>
      </c>
      <c r="D4" s="209" t="s">
        <v>923</v>
      </c>
      <c r="E4" s="268" t="s">
        <v>925</v>
      </c>
      <c r="F4" s="306" t="s">
        <v>948</v>
      </c>
      <c r="G4" s="270" t="s">
        <v>925</v>
      </c>
      <c r="H4" s="58" t="str">
        <f>$H$3</f>
        <v>Εθνικές</v>
      </c>
      <c r="I4" s="139">
        <f>$I$5</f>
        <v>0</v>
      </c>
      <c r="J4" s="249" t="str">
        <f>IF(ISNUMBER(I$5),ROUND(I$5,2),"N/A")</f>
        <v>N/A</v>
      </c>
      <c r="K4" s="231" t="str">
        <f>$K$3</f>
        <v/>
      </c>
      <c r="M4" s="97" t="str">
        <f t="shared" ref="M4:M12" si="0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1">$B$3</f>
        <v>FORTHNET</v>
      </c>
      <c r="C5" s="91" t="str">
        <f t="shared" ref="C5:C12" si="2">$C$3</f>
        <v>Έμμεση</v>
      </c>
      <c r="D5" s="219">
        <f>IF(ΓΕΝΙΚΑ!$B$23="ΝΑΙ",15300,"")</f>
        <v>15300</v>
      </c>
      <c r="E5" s="219" t="str">
        <f>IF(ΓΕΝΙΚΑ!$B$23="ΝΑΙ","ΠΑΝΕΛΛΑΔΙΚΑ","")</f>
        <v>ΠΑΝΕΛΛΑΔΙΚΑ</v>
      </c>
      <c r="F5" s="307" t="s">
        <v>949</v>
      </c>
      <c r="G5" s="5" t="str">
        <f>CONCATENATE(F3,", ",F4,", ",F5,", ",F6,", ",F7)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5" s="58" t="str">
        <f>$H$3</f>
        <v>Εθνικές</v>
      </c>
      <c r="I5" s="94"/>
      <c r="J5" s="249" t="str">
        <f>IF(ISNUMBER(I$5),ROUND(I$5,2),"N/A")</f>
        <v>N/A</v>
      </c>
      <c r="K5" s="232" t="str">
        <f t="shared" ref="K5:K12" si="3">$K$3</f>
        <v/>
      </c>
      <c r="M5" s="97" t="str">
        <f t="shared" si="0"/>
        <v>ΣΦΑΛΜΑ</v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25">
      <c r="A6" s="87" t="str">
        <f t="shared" ref="A6:A12" si="4">$A$3</f>
        <v>B03</v>
      </c>
      <c r="B6" s="88" t="str">
        <f t="shared" si="1"/>
        <v>FORTHNET</v>
      </c>
      <c r="C6" s="91" t="str">
        <f t="shared" si="2"/>
        <v>Έμμεση</v>
      </c>
      <c r="D6" s="209" t="s">
        <v>923</v>
      </c>
      <c r="E6" s="268" t="s">
        <v>925</v>
      </c>
      <c r="F6" s="306" t="s">
        <v>933</v>
      </c>
      <c r="G6" s="270" t="s">
        <v>925</v>
      </c>
      <c r="H6" s="58" t="str">
        <f>$H$3</f>
        <v>Εθνικές</v>
      </c>
      <c r="I6" s="139">
        <f>$I$5</f>
        <v>0</v>
      </c>
      <c r="J6" s="249" t="str">
        <f>IF(ISNUMBER(I$5),ROUND(I$5,2),"N/A")</f>
        <v>N/A</v>
      </c>
      <c r="K6" s="232" t="str">
        <f t="shared" si="3"/>
        <v/>
      </c>
      <c r="M6" s="97" t="str">
        <f t="shared" si="0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4"/>
        <v>B03</v>
      </c>
      <c r="B7" s="89" t="str">
        <f t="shared" si="1"/>
        <v>FORTHNET</v>
      </c>
      <c r="C7" s="91" t="str">
        <f t="shared" si="2"/>
        <v>Έμμεση</v>
      </c>
      <c r="D7" s="209" t="s">
        <v>923</v>
      </c>
      <c r="E7" s="268" t="s">
        <v>925</v>
      </c>
      <c r="F7" s="308" t="s">
        <v>943</v>
      </c>
      <c r="G7" s="270" t="s">
        <v>925</v>
      </c>
      <c r="H7" s="79" t="str">
        <f>$H$3</f>
        <v>Εθνικές</v>
      </c>
      <c r="I7" s="140">
        <f>$I$5</f>
        <v>0</v>
      </c>
      <c r="J7" s="249" t="str">
        <f>IF(ISNUMBER(I$5),ROUND(I$5,2),"N/A")</f>
        <v>N/A</v>
      </c>
      <c r="K7" s="232" t="str">
        <f t="shared" si="3"/>
        <v/>
      </c>
      <c r="M7" s="97" t="str">
        <f t="shared" si="0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4"/>
        <v>B03</v>
      </c>
      <c r="B8" s="88" t="str">
        <f t="shared" si="1"/>
        <v>FORTHNET</v>
      </c>
      <c r="C8" s="91" t="str">
        <f t="shared" si="2"/>
        <v>Έμμεση</v>
      </c>
      <c r="D8" s="209" t="str">
        <f>D3</f>
        <v>N/A</v>
      </c>
      <c r="E8" s="268" t="s">
        <v>925</v>
      </c>
      <c r="F8" s="104" t="str">
        <f>TEXT(F3,)</f>
        <v>ΚΕΝΤΡΙΚΗΣ ΜΑΚΕΔΟΝΙΑΣ - ΘΕΣΣΑΛΟΝΙΚΗΣ</v>
      </c>
      <c r="G8" s="270" t="s">
        <v>925</v>
      </c>
      <c r="H8" s="58" t="s">
        <v>487</v>
      </c>
      <c r="I8" s="139">
        <f>$I$10</f>
        <v>0</v>
      </c>
      <c r="J8" s="249" t="str">
        <f>IF(ISNUMBER(I$10),ROUND(I$10,2),"N/A")</f>
        <v>N/A</v>
      </c>
      <c r="K8" s="232" t="str">
        <f t="shared" si="3"/>
        <v/>
      </c>
      <c r="M8" s="97" t="str">
        <f t="shared" si="0"/>
        <v/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7" t="str">
        <f t="shared" si="4"/>
        <v>B03</v>
      </c>
      <c r="B9" s="88" t="str">
        <f t="shared" si="1"/>
        <v>FORTHNET</v>
      </c>
      <c r="C9" s="91" t="str">
        <f t="shared" si="2"/>
        <v>Έμμεση</v>
      </c>
      <c r="D9" s="209" t="str">
        <f>D4</f>
        <v>N/A</v>
      </c>
      <c r="E9" s="209" t="str">
        <f>E4</f>
        <v/>
      </c>
      <c r="F9" s="104" t="str">
        <f>TEXT(F4,)</f>
        <v>ΠΕΛΟΠΟΝΝΗΣΟΥ - ΤΡΙΠΟΛΗΣ</v>
      </c>
      <c r="G9" s="270" t="s">
        <v>925</v>
      </c>
      <c r="H9" s="58" t="str">
        <f>$H$8</f>
        <v>Διεθνείς</v>
      </c>
      <c r="I9" s="139">
        <f>$I$10</f>
        <v>0</v>
      </c>
      <c r="J9" s="249" t="str">
        <f>IF(ISNUMBER(I$10),ROUND(I$10,2),"N/A")</f>
        <v>N/A</v>
      </c>
      <c r="K9" s="232" t="str">
        <f t="shared" si="3"/>
        <v/>
      </c>
      <c r="M9" s="97" t="str">
        <f t="shared" si="0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4"/>
        <v>B03</v>
      </c>
      <c r="B10" s="88" t="str">
        <f t="shared" si="1"/>
        <v>FORTHNET</v>
      </c>
      <c r="C10" s="91" t="str">
        <f t="shared" si="2"/>
        <v>Έμμεση</v>
      </c>
      <c r="D10" s="209">
        <f>D5</f>
        <v>15300</v>
      </c>
      <c r="E10" s="209" t="str">
        <f>E5</f>
        <v>ΠΑΝΕΛΛΑΔΙΚΑ</v>
      </c>
      <c r="F10" s="104" t="str">
        <f>TEXT(F5,)</f>
        <v>ΘΕΣΣΑΛΙΑΣ - ΛΑΡΙΣΑΙΩΝ</v>
      </c>
      <c r="G10" s="5" t="str">
        <f>CONCATENATE(F8,", ",F9,", ",F10,", ",F11,", ",F12)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10" s="58" t="str">
        <f>$H$8</f>
        <v>Διεθνείς</v>
      </c>
      <c r="I10" s="94"/>
      <c r="J10" s="249" t="str">
        <f>IF(ISNUMBER(I$10),ROUND(I$10,2),"N/A")</f>
        <v>N/A</v>
      </c>
      <c r="K10" s="232" t="str">
        <f t="shared" si="3"/>
        <v/>
      </c>
      <c r="M10" s="97" t="str">
        <f t="shared" si="0"/>
        <v>ΣΦΑΛΜΑ</v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7" t="str">
        <f t="shared" si="4"/>
        <v>B03</v>
      </c>
      <c r="B11" s="90" t="str">
        <f t="shared" si="1"/>
        <v>FORTHNET</v>
      </c>
      <c r="C11" s="91" t="str">
        <f t="shared" si="2"/>
        <v>Έμμεση</v>
      </c>
      <c r="D11" s="209" t="str">
        <f>D6</f>
        <v>N/A</v>
      </c>
      <c r="E11" s="209" t="str">
        <f>E6</f>
        <v/>
      </c>
      <c r="F11" s="105" t="str">
        <f>TEXT(F6,)</f>
        <v>ΑΤΤΙΚΗΣ - ΑΘΗΝΑΙΩΝ</v>
      </c>
      <c r="G11" s="270" t="s">
        <v>925</v>
      </c>
      <c r="H11" s="74" t="str">
        <f>$H$8</f>
        <v>Διεθνείς</v>
      </c>
      <c r="I11" s="139">
        <f>$I$10</f>
        <v>0</v>
      </c>
      <c r="J11" s="249" t="str">
        <f>IF(ISNUMBER(I$10),ROUND(I$10,2),"N/A")</f>
        <v>N/A</v>
      </c>
      <c r="K11" s="232" t="str">
        <f t="shared" si="3"/>
        <v/>
      </c>
      <c r="M11" s="97" t="str">
        <f t="shared" si="0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4"/>
        <v>B03</v>
      </c>
      <c r="B12" s="267" t="str">
        <f t="shared" si="1"/>
        <v>FORTHNET</v>
      </c>
      <c r="C12" s="78" t="str">
        <f t="shared" si="2"/>
        <v>Έμμεση</v>
      </c>
      <c r="D12" s="209" t="str">
        <f>D7</f>
        <v>N/A</v>
      </c>
      <c r="E12" s="209" t="str">
        <f>E7</f>
        <v/>
      </c>
      <c r="F12" s="106" t="str">
        <f>TEXT(F7,)</f>
        <v>ΔΥΤΙΚΗΣ ΕΛΛΑΔΑΣ - ΠΑΤΡΕΩΝ</v>
      </c>
      <c r="G12" s="300" t="s">
        <v>925</v>
      </c>
      <c r="H12" s="102" t="str">
        <f>$H$8</f>
        <v>Διεθνείς</v>
      </c>
      <c r="I12" s="140">
        <f>$I$10</f>
        <v>0</v>
      </c>
      <c r="J12" s="249" t="str">
        <f>IF(ISNUMBER(I$10),ROUND(I$10,2),"N/A")</f>
        <v>N/A</v>
      </c>
      <c r="K12" s="233" t="str">
        <f t="shared" si="3"/>
        <v/>
      </c>
      <c r="M12" s="98" t="str">
        <f t="shared" si="0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zoomScale="85" zoomScaleNormal="85" workbookViewId="0">
      <selection activeCell="I5" sqref="I5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33.28515625" style="164" customWidth="1"/>
    <col min="5" max="6" width="33.28515625" style="164" hidden="1" customWidth="1"/>
    <col min="7" max="7" width="41.85546875" style="164" customWidth="1"/>
    <col min="8" max="8" width="23" style="164" customWidth="1"/>
    <col min="9" max="9" width="16" style="164" customWidth="1"/>
    <col min="10" max="10" width="32" style="164" customWidth="1"/>
    <col min="11" max="12" width="23.7109375" style="164" hidden="1" customWidth="1"/>
    <col min="13" max="13" width="17.28515625" style="164" customWidth="1"/>
    <col min="14" max="14" width="40.42578125" style="164" customWidth="1"/>
    <col min="15" max="15" width="6.28515625" style="172" customWidth="1"/>
    <col min="16" max="16" width="13.42578125" style="164" customWidth="1"/>
    <col min="17" max="17" width="69.85546875" style="164" customWidth="1"/>
    <col min="18" max="18" width="56.42578125" style="164" customWidth="1"/>
    <col min="19" max="16384" width="9.140625" style="164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3"/>
      <c r="P2" s="125" t="s">
        <v>452</v>
      </c>
      <c r="Q2" s="107" t="s">
        <v>553</v>
      </c>
    </row>
    <row r="3" spans="1:17" ht="42.75" customHeight="1" thickTop="1" x14ac:dyDescent="0.25">
      <c r="A3" s="76" t="s">
        <v>461</v>
      </c>
      <c r="B3" s="271" t="str">
        <f>ΓΕΝΙΚΑ!C4</f>
        <v>FORTHNET</v>
      </c>
      <c r="C3" s="175" t="s">
        <v>435</v>
      </c>
      <c r="D3" s="122">
        <v>1</v>
      </c>
      <c r="E3" s="203" t="str">
        <f>IF(ΓΕΝΙΚΑ!$B$19="ΝΑΙ",_xlfn.IFNA(INDEX(OrchardIDnai,MATCH(G3,DimosNameNai,0)),""),"")</f>
        <v/>
      </c>
      <c r="F3" s="203" t="str">
        <f>IF(ΓΕΝΙΚΑ!$B$19="ΝΑΙ",_xlfn.IFNA(INDEX(OrchardNameNai,MATCH(G3,DimosNameNai,0)),""),"")</f>
        <v/>
      </c>
      <c r="G3" s="130"/>
      <c r="H3" s="118" t="s">
        <v>445</v>
      </c>
      <c r="I3" s="132"/>
      <c r="J3" s="275" t="s">
        <v>925</v>
      </c>
      <c r="K3" s="176" t="str">
        <f>IF(I3="","",IF(I3="Άλλο",IF(J3="","",J3),TEXT(I3,)))</f>
        <v/>
      </c>
      <c r="L3" s="121">
        <f>IF(M3="ΠΟΛΥ ΥΨΗΛΗ", 5,IF(M3="ΥΨΗΛΗ",4,IF(M3="ΜΕΣΗ",3,IF(M3="ΧΑΜΗΛΗ",2,IF(M3="ΠΟΛΥ ΧΑΜΗΛΗ",1,0)))))</f>
        <v>0</v>
      </c>
      <c r="M3" s="132"/>
      <c r="N3" s="274" t="s">
        <v>925</v>
      </c>
      <c r="O3" s="174"/>
      <c r="P3" s="126" t="str">
        <f>IF(Q3="","","ΣΦΑΛΜΑ")</f>
        <v>ΣΦΑΛΜΑ</v>
      </c>
      <c r="Q3" s="144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25">
      <c r="A4" s="87" t="e">
        <f>#REF!</f>
        <v>#REF!</v>
      </c>
      <c r="B4" s="272" t="str">
        <f>ΓΕΝΙΚΑ!C4</f>
        <v>FORTHNET</v>
      </c>
      <c r="C4" s="91" t="str">
        <f>C3</f>
        <v>Έμμεση</v>
      </c>
      <c r="D4" s="123">
        <v>1</v>
      </c>
      <c r="E4" s="204" t="str">
        <f>IF(ΓΕΝΙΚΑ!$B$19="ΝΑΙ",_xlfn.IFNA(INDEX(OrchardIDnai,MATCH(G4,DimosNameNai,0)),""),"")</f>
        <v/>
      </c>
      <c r="F4" s="205" t="str">
        <f>IF(ΓΕΝΙΚΑ!$B$19="ΝΑΙ",_xlfn.IFNA(INDEX(OrchardNameNai,MATCH(G4,DimosNameNai,0)),""),"")</f>
        <v/>
      </c>
      <c r="G4" s="130"/>
      <c r="H4" s="120" t="s">
        <v>446</v>
      </c>
      <c r="I4" s="7" t="str">
        <f>TEXT(I$3,)</f>
        <v/>
      </c>
      <c r="J4" s="7" t="str">
        <f>TEXT(J$3,)</f>
        <v/>
      </c>
      <c r="K4" s="7" t="str">
        <f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60" t="str">
        <f>TEXT(M$3,)</f>
        <v/>
      </c>
      <c r="N4" s="235" t="str">
        <f>N3</f>
        <v/>
      </c>
      <c r="O4" s="174"/>
      <c r="P4" s="126" t="str">
        <f>IF(Q4="","","ΣΦΑΛΜΑ")</f>
        <v>ΣΦΑΛΜΑ</v>
      </c>
      <c r="Q4" s="144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25">
      <c r="A5" s="87" t="e">
        <f>#REF!</f>
        <v>#REF!</v>
      </c>
      <c r="B5" s="272" t="str">
        <f>ΓΕΝΙΚΑ!C4</f>
        <v>FORTHNET</v>
      </c>
      <c r="C5" s="138" t="str">
        <f>C3</f>
        <v>Έμμεση</v>
      </c>
      <c r="D5" s="133"/>
      <c r="E5" s="204" t="str">
        <f>IF(ΓΕΝΙΚΑ!$B$19="ΝΑΙ",_xlfn.IFNA(INDEX(OrchardIDnai,MATCH(G5,DimosNameNai,0)),""),"")</f>
        <v/>
      </c>
      <c r="F5" s="205" t="str">
        <f>IF(ΓΕΝΙΚΑ!$B$19="ΝΑΙ",_xlfn.IFNA(INDEX(OrchardNameNai,MATCH(G5,DimosNameNai,0)),""),"")</f>
        <v/>
      </c>
      <c r="G5" s="130"/>
      <c r="H5" s="184" t="s">
        <v>445</v>
      </c>
      <c r="I5" s="182"/>
      <c r="J5" s="276" t="s">
        <v>925</v>
      </c>
      <c r="K5" s="183" t="str">
        <f>IF(I5="","",IF(I5="Άλλο",IF(J5="","",J5),TEXT(I5,)))</f>
        <v/>
      </c>
      <c r="L5" s="59">
        <f>IF(M5="ΠΟΛΥ ΥΨΗΛΗ", 5,IF(M5="ΥΨΗΛΗ",4,IF(M5="ΜΕΣΗ",3,IF(M5="ΧΑΜΗΛΗ",2,IF(M5="ΠΟΛΥ ΧΑΜΗΛΗ",1,0)))))</f>
        <v>0</v>
      </c>
      <c r="M5" s="182"/>
      <c r="N5" s="235" t="str">
        <f>N3</f>
        <v/>
      </c>
      <c r="O5" s="174"/>
      <c r="P5" s="126" t="str">
        <f>IF(Q5="","","ΣΦΑΛΜΑ")</f>
        <v/>
      </c>
      <c r="Q5" s="144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7" t="e">
        <f>#REF!</f>
        <v>#REF!</v>
      </c>
      <c r="B6" s="273" t="str">
        <f>ΓΕΝΙΚΑ!C4</f>
        <v>FORTHNET</v>
      </c>
      <c r="C6" s="78" t="str">
        <f>C3</f>
        <v>Έμμεση</v>
      </c>
      <c r="D6" s="124" t="str">
        <f>IF(ISNUMBER($D$5),$D$5,"")</f>
        <v/>
      </c>
      <c r="E6" s="204" t="str">
        <f>IF(ΓΕΝΙΚΑ!$B$19="ΝΑΙ",_xlfn.IFNA(INDEX(OrchardIDnai,MATCH(G6,DimosNameNai,0)),""),"")</f>
        <v/>
      </c>
      <c r="F6" s="206" t="str">
        <f>IF(ΓΕΝΙΚΑ!$B$19="ΝΑΙ",_xlfn.IFNA(INDEX(OrchardNameNai,MATCH(G6,DimosNameNai,0)),""),"")</f>
        <v/>
      </c>
      <c r="G6" s="131"/>
      <c r="H6" s="119" t="s">
        <v>446</v>
      </c>
      <c r="I6" s="129" t="str">
        <f>TEXT(I$5,)</f>
        <v/>
      </c>
      <c r="J6" s="13" t="str">
        <f>TEXT(J$5,)</f>
        <v/>
      </c>
      <c r="K6" s="13" t="str">
        <f>IF(I6="","",IF(I6="Άλλο",IF(J6="","",J6),TEXT(I6,)))</f>
        <v/>
      </c>
      <c r="L6" s="13">
        <f>IF(M6="ΠΟΛΥ ΥΨΗΛΗ", 5,IF(M6="ΥΨΗΛΗ",4,IF(M6="ΜΕΣΗ",3,IF(M6="ΧΑΜΗΛΗ",2,IF(M6="ΠΟΛΥ ΧΑΜΗΛΗ",1,0)))))</f>
        <v>0</v>
      </c>
      <c r="M6" s="128" t="str">
        <f>TEXT(M$5,)</f>
        <v/>
      </c>
      <c r="N6" s="236" t="str">
        <f>N3</f>
        <v/>
      </c>
      <c r="O6" s="174"/>
      <c r="P6" s="127" t="str">
        <f>IF(Q6="","","ΣΦΑΛΜΑ")</f>
        <v/>
      </c>
      <c r="Q6" s="181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ekarv</cp:lastModifiedBy>
  <cp:lastPrinted>2015-09-24T06:21:34Z</cp:lastPrinted>
  <dcterms:created xsi:type="dcterms:W3CDTF">2015-03-10T09:10:24Z</dcterms:created>
  <dcterms:modified xsi:type="dcterms:W3CDTF">2021-07-28T07:55:28Z</dcterms:modified>
</cp:coreProperties>
</file>