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QI\QI_S1_18\B-S1_2018\"/>
    </mc:Choice>
  </mc:AlternateContent>
  <workbookProtection workbookAlgorithmName="SHA-512" workbookHashValue="icFhyG1j/THNXrtmQgcoh7ruYu+gZ4x6Av4tL3d5tM0qeF6R3la1YY9MweqKj6w+p0ZdaaVoE6SlrdIG4WsBuA==" workbookSaltValue="nxJo/CLoQlpzlijW8ivZXg==" workbookSpinCount="100000" lockStructure="1"/>
  <bookViews>
    <workbookView xWindow="0" yWindow="0" windowWidth="28800" windowHeight="12435"/>
  </bookViews>
  <sheets>
    <sheet name="ΓΕΝΙΚΑ" sheetId="6" r:id="rId1"/>
    <sheet name="ΠΕΡΙΦΕΡΕΙΑ" sheetId="3" state="hidden" r:id="rId2"/>
    <sheet name="ΔΗΜΟΣ" sheetId="4" state="hidden" r:id="rId3"/>
    <sheet name="ΤΚ" sheetId="5" state="hidden" r:id="rId4"/>
    <sheet name="ΤΚ ΜΕΤΡΗΣΕΩΝ B01" sheetId="14" r:id="rId5"/>
    <sheet name="B01" sheetId="1" r:id="rId6"/>
    <sheet name="B02" sheetId="7" r:id="rId7"/>
    <sheet name="B03" sheetId="8" r:id="rId8"/>
    <sheet name="B04" sheetId="9" r:id="rId9"/>
    <sheet name="B05" sheetId="10" r:id="rId10"/>
    <sheet name="B06" sheetId="11" r:id="rId11"/>
    <sheet name="B07" sheetId="12" r:id="rId12"/>
    <sheet name="B08" sheetId="13" r:id="rId13"/>
    <sheet name="Lists" sheetId="2" state="hidden" r:id="rId14"/>
  </sheets>
  <definedNames>
    <definedName name="_xlnm._FilterDatabase" localSheetId="2" hidden="1">ΔΗΜΟΣ!$B$1:$D$326</definedName>
    <definedName name="_xlnm._FilterDatabase" localSheetId="3" hidden="1">ΤΚ!$B$1:$D$326</definedName>
    <definedName name="CallType">Lists!$P$3:$P$4</definedName>
    <definedName name="Coverage.Type.">Lists!$F$3:$F$5</definedName>
    <definedName name="DimosCoverage">Lists!$G$3:$G$4</definedName>
    <definedName name="DimosNai">ΔΗΜΟΣ!$M$2:$M$326</definedName>
    <definedName name="DimosNaiOxi">ΔΗΜΟΣ!$L$2:$L$326</definedName>
    <definedName name="DimosNameNai">ΤΚ!$M$2:$M$326</definedName>
    <definedName name="dimosSN">ΤΚ!$A$2:$A$326</definedName>
    <definedName name="dimosSNnai">ΤΚ!$K$2:$K$326</definedName>
    <definedName name="Direction_">Lists!$O$3:$O$4</definedName>
    <definedName name="level.">Lists!$D$3:$D$6</definedName>
    <definedName name="maxDown">Lists!$Q$3:$Q$13</definedName>
    <definedName name="maxUp">Lists!$R$3:$R$13</definedName>
    <definedName name="MeasTK">ΤΚ!$M$2:$M$326</definedName>
    <definedName name="Operators.">Lists!$E$3:$E$7</definedName>
    <definedName name="OrchardID">ΤΚ!$G$2:$G$326</definedName>
    <definedName name="OrchardIDnai">ΤΚ!$N$2:$N$326</definedName>
    <definedName name="OrchardName">ΤΚ!$F$2:$F$326</definedName>
    <definedName name="OrchardNameNai">ΤΚ!$O$2:$O$326</definedName>
    <definedName name="Packet">Lists!$Q$3:$Q$4</definedName>
    <definedName name="Perifereies.">ΠΕΡΙΦΕΡΕΙΑ!$A$2:$A$14</definedName>
    <definedName name="Period.">Lists!$B$3:$B$23</definedName>
    <definedName name="POTS">Lists!$K$3:$K$7</definedName>
    <definedName name="Quality">Lists!$I$3:$I$7</definedName>
    <definedName name="Semester">Lists!$C$3:$C$4</definedName>
    <definedName name="ServiceType">Lists!$L$3:$L$4</definedName>
    <definedName name="SpeedValue">Lists!$N$3:$N$6</definedName>
    <definedName name="SubmitKML">Lists!$H$3:$H$4</definedName>
    <definedName name="submitQI">Lists!$A$3:$A$4</definedName>
    <definedName name="Terminals">Lists!$K$3:$K$6</definedName>
    <definedName name="TK">ΤΚ!$M$2:$M$326</definedName>
    <definedName name="TK1T">ΤΚ!$M$2:$M$326</definedName>
    <definedName name="Άμεση">Lists!$L$3:$L$4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 i="1" l="1"/>
  <c r="I18" i="1"/>
  <c r="I17" i="1"/>
  <c r="I16" i="1"/>
  <c r="I15" i="1"/>
  <c r="I14" i="1"/>
  <c r="I13" i="1"/>
  <c r="I12" i="1"/>
  <c r="I11" i="1"/>
  <c r="I10" i="1" l="1"/>
  <c r="I9" i="1"/>
  <c r="I8" i="1"/>
  <c r="I7" i="1"/>
  <c r="I6" i="1"/>
  <c r="I5" i="1"/>
  <c r="I3" i="1"/>
  <c r="G5" i="8" l="1"/>
  <c r="G10" i="8" s="1"/>
  <c r="C6" i="9" l="1"/>
  <c r="C5" i="9"/>
  <c r="C4" i="9"/>
  <c r="T16" i="12" l="1"/>
  <c r="T15" i="12"/>
  <c r="T14" i="12"/>
  <c r="T13" i="12"/>
  <c r="T12" i="12"/>
  <c r="T11" i="12"/>
  <c r="T10" i="12"/>
  <c r="T9" i="12"/>
  <c r="T8" i="12"/>
  <c r="T7" i="12"/>
  <c r="T6" i="12"/>
  <c r="T5" i="12"/>
  <c r="T4" i="12"/>
  <c r="T3" i="12"/>
  <c r="P4" i="11" l="1"/>
  <c r="P16" i="11"/>
  <c r="P15" i="11"/>
  <c r="P14" i="11"/>
  <c r="P13" i="11"/>
  <c r="P12" i="11"/>
  <c r="P11" i="11"/>
  <c r="P10" i="11"/>
  <c r="P9" i="11"/>
  <c r="P8" i="11"/>
  <c r="P7" i="11"/>
  <c r="P6" i="11"/>
  <c r="P5" i="11"/>
  <c r="O3" i="7"/>
  <c r="N3" i="12" l="1"/>
  <c r="N4"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D7" i="13" l="1"/>
  <c r="D6" i="13"/>
  <c r="D5" i="13"/>
  <c r="D4" i="13"/>
  <c r="D3" i="13"/>
  <c r="E30" i="12"/>
  <c r="E29" i="12"/>
  <c r="E28" i="12"/>
  <c r="E27" i="12"/>
  <c r="E26" i="12"/>
  <c r="E25" i="12"/>
  <c r="E24" i="12"/>
  <c r="E23" i="12"/>
  <c r="E22" i="12"/>
  <c r="E21" i="12"/>
  <c r="E20" i="12"/>
  <c r="E19" i="12"/>
  <c r="E18" i="12"/>
  <c r="E17" i="12"/>
  <c r="E16" i="12"/>
  <c r="E15" i="12"/>
  <c r="E14" i="12"/>
  <c r="E13" i="12"/>
  <c r="E12" i="12"/>
  <c r="E11" i="12"/>
  <c r="E10" i="12"/>
  <c r="E9" i="12"/>
  <c r="E8" i="12"/>
  <c r="E7" i="12"/>
  <c r="E6" i="12"/>
  <c r="E5" i="12"/>
  <c r="E4" i="12"/>
  <c r="E3" i="12"/>
  <c r="E16" i="11"/>
  <c r="E15" i="11"/>
  <c r="E14" i="11"/>
  <c r="E13" i="11"/>
  <c r="E12" i="11"/>
  <c r="E11" i="11"/>
  <c r="E10" i="11"/>
  <c r="E9" i="11"/>
  <c r="E8" i="11"/>
  <c r="E7" i="11"/>
  <c r="E6" i="11"/>
  <c r="E5" i="11"/>
  <c r="E4" i="11"/>
  <c r="E3" i="11"/>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E3" i="10"/>
  <c r="E8" i="7"/>
  <c r="E7" i="7"/>
  <c r="E6" i="7"/>
  <c r="E5" i="7"/>
  <c r="E4" i="7"/>
  <c r="E3" i="7"/>
  <c r="O16" i="11" l="1"/>
  <c r="D16" i="11" s="1"/>
  <c r="O15" i="11"/>
  <c r="D15" i="11" s="1"/>
  <c r="O14" i="11"/>
  <c r="D14" i="11" s="1"/>
  <c r="O13" i="11"/>
  <c r="D13" i="11" s="1"/>
  <c r="O12" i="11"/>
  <c r="D12" i="11" s="1"/>
  <c r="O11" i="11"/>
  <c r="D11" i="11" s="1"/>
  <c r="O10" i="11"/>
  <c r="D10" i="11" s="1"/>
  <c r="O9" i="11"/>
  <c r="D9" i="11" s="1"/>
  <c r="O8" i="11"/>
  <c r="D8" i="11" s="1"/>
  <c r="O7" i="11"/>
  <c r="D7" i="11" s="1"/>
  <c r="O6" i="11"/>
  <c r="D6" i="11" s="1"/>
  <c r="O5" i="11"/>
  <c r="D5" i="11" s="1"/>
  <c r="O4" i="11"/>
  <c r="D4" i="11" s="1"/>
  <c r="M30" i="10"/>
  <c r="M29" i="10"/>
  <c r="M28" i="10"/>
  <c r="M27" i="10"/>
  <c r="M26" i="10"/>
  <c r="M25" i="10"/>
  <c r="M24" i="10"/>
  <c r="M23" i="10"/>
  <c r="M22" i="10"/>
  <c r="M21" i="10"/>
  <c r="M20" i="10"/>
  <c r="M19" i="10"/>
  <c r="M18" i="10"/>
  <c r="M17" i="10"/>
  <c r="J8" i="7" l="1"/>
  <c r="J7" i="7"/>
  <c r="J6" i="7"/>
  <c r="J5" i="7"/>
  <c r="J4" i="7"/>
  <c r="O4" i="7" s="1"/>
  <c r="L30" i="12" l="1"/>
  <c r="T30" i="12" s="1"/>
  <c r="L29" i="12"/>
  <c r="T29" i="12" s="1"/>
  <c r="L28" i="12"/>
  <c r="T28" i="12" s="1"/>
  <c r="L27" i="12"/>
  <c r="T27" i="12" s="1"/>
  <c r="L26" i="12"/>
  <c r="T26" i="12" s="1"/>
  <c r="L25" i="12"/>
  <c r="T25" i="12" s="1"/>
  <c r="L24" i="12"/>
  <c r="T24" i="12" s="1"/>
  <c r="L23" i="12"/>
  <c r="T23" i="12" s="1"/>
  <c r="L22" i="12"/>
  <c r="T22" i="12" s="1"/>
  <c r="L21" i="12"/>
  <c r="T21" i="12" s="1"/>
  <c r="L20" i="12"/>
  <c r="T20" i="12" s="1"/>
  <c r="L19" i="12"/>
  <c r="T19" i="12" s="1"/>
  <c r="L18" i="12"/>
  <c r="T18" i="12" s="1"/>
  <c r="L17" i="12"/>
  <c r="L16" i="12"/>
  <c r="L15" i="12"/>
  <c r="L14" i="12"/>
  <c r="L13" i="12"/>
  <c r="L12" i="12"/>
  <c r="L11" i="12"/>
  <c r="L10" i="12"/>
  <c r="L9" i="12"/>
  <c r="L8" i="12"/>
  <c r="L7" i="12"/>
  <c r="L6" i="12"/>
  <c r="L5" i="12"/>
  <c r="L4" i="12"/>
  <c r="K3" i="1" l="1"/>
  <c r="K18" i="1"/>
  <c r="K17" i="1"/>
  <c r="K16" i="1"/>
  <c r="K15" i="1"/>
  <c r="K14" i="1"/>
  <c r="K13" i="1"/>
  <c r="K12" i="1"/>
  <c r="K11" i="1"/>
  <c r="K10" i="1"/>
  <c r="K9" i="1"/>
  <c r="K8" i="1"/>
  <c r="K7" i="1"/>
  <c r="K6" i="1"/>
  <c r="K5" i="1"/>
  <c r="K4" i="1"/>
  <c r="K8" i="7"/>
  <c r="K7" i="7"/>
  <c r="K6" i="7"/>
  <c r="K5" i="7"/>
  <c r="K4" i="7"/>
  <c r="K3" i="7"/>
  <c r="I8" i="7"/>
  <c r="I7" i="7"/>
  <c r="I6" i="7"/>
  <c r="I5" i="7"/>
  <c r="I4" i="7"/>
  <c r="I3" i="7"/>
  <c r="J12" i="8"/>
  <c r="J11" i="8"/>
  <c r="J10" i="8"/>
  <c r="J9" i="8"/>
  <c r="J8" i="8"/>
  <c r="J7" i="8"/>
  <c r="J6" i="8"/>
  <c r="J5" i="8"/>
  <c r="J4" i="8"/>
  <c r="J3" i="8"/>
  <c r="N25" i="10"/>
  <c r="N4" i="10"/>
  <c r="N18" i="10" s="1"/>
  <c r="N5" i="10"/>
  <c r="N19" i="10" s="1"/>
  <c r="N6" i="10"/>
  <c r="N20" i="10" s="1"/>
  <c r="N7" i="10"/>
  <c r="N21" i="10" s="1"/>
  <c r="N8" i="10"/>
  <c r="N22" i="10" s="1"/>
  <c r="N9" i="10"/>
  <c r="N23" i="10" s="1"/>
  <c r="N10" i="10"/>
  <c r="N24" i="10" s="1"/>
  <c r="N11" i="10"/>
  <c r="N12" i="10"/>
  <c r="N26" i="10" s="1"/>
  <c r="N13" i="10"/>
  <c r="N27" i="10" s="1"/>
  <c r="N14" i="10"/>
  <c r="N28" i="10" s="1"/>
  <c r="N15" i="10"/>
  <c r="N29" i="10" s="1"/>
  <c r="N16" i="10"/>
  <c r="N30" i="10" s="1"/>
  <c r="N3" i="10"/>
  <c r="N17" i="10" s="1"/>
  <c r="L8" i="10"/>
  <c r="L9" i="10"/>
  <c r="L10" i="10"/>
  <c r="L11" i="10"/>
  <c r="L12" i="10"/>
  <c r="L13" i="10"/>
  <c r="L14" i="10"/>
  <c r="L15" i="10"/>
  <c r="L16" i="10"/>
  <c r="L17" i="10"/>
  <c r="L18" i="10"/>
  <c r="T18" i="10" s="1"/>
  <c r="L19" i="10"/>
  <c r="T19" i="10" s="1"/>
  <c r="L20" i="10"/>
  <c r="T20" i="10" s="1"/>
  <c r="L21" i="10"/>
  <c r="T21" i="10" s="1"/>
  <c r="L22" i="10"/>
  <c r="T22" i="10" s="1"/>
  <c r="L23" i="10"/>
  <c r="T23" i="10" s="1"/>
  <c r="L24" i="10"/>
  <c r="T24" i="10" s="1"/>
  <c r="L25" i="10"/>
  <c r="T25" i="10" s="1"/>
  <c r="L26" i="10"/>
  <c r="T26" i="10" s="1"/>
  <c r="L27" i="10"/>
  <c r="T27" i="10" s="1"/>
  <c r="L28" i="10"/>
  <c r="T28" i="10" s="1"/>
  <c r="L29" i="10"/>
  <c r="T29" i="10" s="1"/>
  <c r="L30" i="10"/>
  <c r="T30" i="10" s="1"/>
  <c r="L4" i="10"/>
  <c r="L5" i="10"/>
  <c r="L6" i="10"/>
  <c r="T6" i="10" s="1"/>
  <c r="L7" i="10"/>
  <c r="L3" i="10"/>
  <c r="K4" i="10"/>
  <c r="K5" i="10"/>
  <c r="K6" i="10"/>
  <c r="K7" i="10"/>
  <c r="K8" i="10"/>
  <c r="K9" i="10"/>
  <c r="K10" i="10"/>
  <c r="K11" i="10"/>
  <c r="K12" i="10"/>
  <c r="K13" i="10"/>
  <c r="K14" i="10"/>
  <c r="K15" i="10"/>
  <c r="K16" i="10"/>
  <c r="K17" i="10"/>
  <c r="K18" i="10"/>
  <c r="K19" i="10"/>
  <c r="K20" i="10"/>
  <c r="K21" i="10"/>
  <c r="K22" i="10"/>
  <c r="K23" i="10"/>
  <c r="K24" i="10"/>
  <c r="K25" i="10"/>
  <c r="K26" i="10"/>
  <c r="K27" i="10"/>
  <c r="K28" i="10"/>
  <c r="K29" i="10"/>
  <c r="K30" i="10"/>
  <c r="K3" i="10"/>
  <c r="G4" i="11"/>
  <c r="G5" i="11"/>
  <c r="G6" i="11"/>
  <c r="G7" i="11"/>
  <c r="G8" i="11"/>
  <c r="G9" i="11"/>
  <c r="G10" i="11"/>
  <c r="G11" i="11"/>
  <c r="G12" i="11"/>
  <c r="G13" i="11"/>
  <c r="G14" i="11"/>
  <c r="G15" i="11"/>
  <c r="G16" i="11"/>
  <c r="G3" i="11"/>
  <c r="K4" i="11"/>
  <c r="K5" i="11"/>
  <c r="K6" i="11"/>
  <c r="K7" i="11"/>
  <c r="K8" i="11"/>
  <c r="K9" i="11"/>
  <c r="K10" i="11"/>
  <c r="K11" i="11"/>
  <c r="K12" i="11"/>
  <c r="K13" i="11"/>
  <c r="K14" i="11"/>
  <c r="K15" i="11"/>
  <c r="K16" i="11"/>
  <c r="K3" i="11"/>
  <c r="I4" i="11"/>
  <c r="I5" i="11"/>
  <c r="I6" i="11"/>
  <c r="I7" i="11"/>
  <c r="I8" i="11"/>
  <c r="I9" i="11"/>
  <c r="I10" i="11"/>
  <c r="I11" i="11"/>
  <c r="I12" i="11"/>
  <c r="I13" i="11"/>
  <c r="I14" i="11"/>
  <c r="I15" i="11"/>
  <c r="I16" i="11"/>
  <c r="I3" i="11"/>
  <c r="K4" i="12"/>
  <c r="K5"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3" i="12"/>
  <c r="I4" i="12"/>
  <c r="I5" i="12"/>
  <c r="I6" i="12"/>
  <c r="I7" i="12"/>
  <c r="I8" i="12"/>
  <c r="I9" i="12"/>
  <c r="I10" i="12"/>
  <c r="I11" i="12"/>
  <c r="I12" i="12"/>
  <c r="I13" i="12"/>
  <c r="I14" i="12"/>
  <c r="I15" i="12"/>
  <c r="I16" i="12"/>
  <c r="I18" i="12"/>
  <c r="I19" i="12"/>
  <c r="I20" i="12"/>
  <c r="I21" i="12"/>
  <c r="I22" i="12"/>
  <c r="I23" i="12"/>
  <c r="I24" i="12"/>
  <c r="I25" i="12"/>
  <c r="I26" i="12"/>
  <c r="I27" i="12"/>
  <c r="I28" i="12"/>
  <c r="I29" i="12"/>
  <c r="I30" i="12"/>
  <c r="L3" i="12"/>
  <c r="T15" i="10" l="1"/>
  <c r="T11" i="10"/>
  <c r="T4" i="10"/>
  <c r="T7" i="10"/>
  <c r="T3" i="10"/>
  <c r="T14" i="10"/>
  <c r="T10" i="10"/>
  <c r="T13" i="10"/>
  <c r="T9" i="10"/>
  <c r="T5" i="10"/>
  <c r="T16" i="10"/>
  <c r="T12" i="10"/>
  <c r="T8" i="10"/>
  <c r="H2" i="14"/>
  <c r="H3" i="14" s="1"/>
  <c r="H4" i="14" s="1"/>
  <c r="H5" i="14" s="1"/>
  <c r="H6" i="14" s="1"/>
  <c r="H7" i="14" s="1"/>
  <c r="H8" i="14" s="1"/>
  <c r="H9" i="14" s="1"/>
  <c r="H10" i="14" s="1"/>
  <c r="H11" i="14" s="1"/>
  <c r="H12" i="14" s="1"/>
  <c r="H14" i="14" s="1"/>
  <c r="H15" i="14" s="1"/>
  <c r="F11" i="1" s="1"/>
  <c r="O11" i="1" s="1"/>
  <c r="C2" i="14"/>
  <c r="C3" i="14" s="1"/>
  <c r="C4" i="14" s="1"/>
  <c r="C5" i="14" s="1"/>
  <c r="C6" i="14" s="1"/>
  <c r="C7" i="14" s="1"/>
  <c r="C8" i="14" s="1"/>
  <c r="C9" i="14" s="1"/>
  <c r="C10" i="14" s="1"/>
  <c r="C11" i="14" s="1"/>
  <c r="C12" i="14" s="1"/>
  <c r="C14" i="14" s="1"/>
  <c r="C15" i="14" s="1"/>
  <c r="F3" i="1" s="1"/>
  <c r="O3" i="1" s="1"/>
  <c r="E3" i="5"/>
  <c r="E4" i="5"/>
  <c r="E5" i="5"/>
  <c r="E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2" i="5"/>
  <c r="A4" i="1"/>
  <c r="T3" i="13" l="1"/>
  <c r="W3" i="13" l="1"/>
  <c r="V3" i="13"/>
  <c r="U3" i="13"/>
  <c r="S16" i="10"/>
  <c r="D16" i="10" s="1"/>
  <c r="S15" i="10"/>
  <c r="D15" i="10" s="1"/>
  <c r="S14" i="10"/>
  <c r="D14" i="10" s="1"/>
  <c r="S13" i="10"/>
  <c r="D13" i="10" s="1"/>
  <c r="S12" i="10"/>
  <c r="D12" i="10" s="1"/>
  <c r="S11" i="10"/>
  <c r="D11" i="10" s="1"/>
  <c r="S9" i="10"/>
  <c r="D9" i="10" s="1"/>
  <c r="S8" i="10"/>
  <c r="D8" i="10" s="1"/>
  <c r="S7" i="10"/>
  <c r="D7" i="10" s="1"/>
  <c r="S6" i="10"/>
  <c r="X3" i="13" l="1"/>
  <c r="Y3" i="13" s="1"/>
  <c r="S3" i="13" s="1"/>
  <c r="K5" i="9"/>
  <c r="K3" i="9"/>
  <c r="Q3" i="9" l="1"/>
  <c r="N10" i="8"/>
  <c r="N5" i="8"/>
  <c r="Q5" i="9"/>
  <c r="D6" i="9" l="1"/>
  <c r="R3" i="13" l="1"/>
  <c r="C3" i="13" s="1"/>
  <c r="S16" i="12"/>
  <c r="D16" i="12" s="1"/>
  <c r="S12" i="12"/>
  <c r="D12" i="12" s="1"/>
  <c r="S8" i="12"/>
  <c r="D8" i="12" s="1"/>
  <c r="S7" i="12"/>
  <c r="D7" i="12" s="1"/>
  <c r="S3" i="12"/>
  <c r="D3" i="12" s="1"/>
  <c r="A30" i="12"/>
  <c r="A29" i="12"/>
  <c r="A28" i="12"/>
  <c r="A27" i="12"/>
  <c r="A26" i="12"/>
  <c r="A25" i="12"/>
  <c r="A24" i="12"/>
  <c r="A23" i="12"/>
  <c r="A22" i="12"/>
  <c r="A21" i="12"/>
  <c r="A20" i="12"/>
  <c r="A19" i="12"/>
  <c r="A18" i="12"/>
  <c r="A17" i="12"/>
  <c r="A16" i="12"/>
  <c r="A15" i="12"/>
  <c r="A14" i="12"/>
  <c r="A13" i="12"/>
  <c r="A12" i="12"/>
  <c r="A11" i="12"/>
  <c r="A10" i="12"/>
  <c r="A9" i="12"/>
  <c r="A8" i="12"/>
  <c r="A7" i="12"/>
  <c r="A6" i="12"/>
  <c r="A5" i="12"/>
  <c r="A4" i="12"/>
  <c r="S5" i="12"/>
  <c r="D5" i="12" s="1"/>
  <c r="S6" i="12"/>
  <c r="D6" i="12" s="1"/>
  <c r="S9" i="12"/>
  <c r="D9" i="12" s="1"/>
  <c r="S10" i="12"/>
  <c r="D10" i="12" s="1"/>
  <c r="S11" i="12"/>
  <c r="D11" i="12" s="1"/>
  <c r="S13" i="12"/>
  <c r="D13" i="12" s="1"/>
  <c r="S14" i="12"/>
  <c r="D14" i="12" s="1"/>
  <c r="S15" i="12"/>
  <c r="D15" i="12" s="1"/>
  <c r="S4" i="12"/>
  <c r="D4" i="12" s="1"/>
  <c r="P3" i="11"/>
  <c r="O3" i="11" s="1"/>
  <c r="D3" i="11" s="1"/>
  <c r="A16" i="11"/>
  <c r="A15" i="11"/>
  <c r="A14" i="11"/>
  <c r="A13" i="11"/>
  <c r="A12" i="11"/>
  <c r="A11" i="11"/>
  <c r="A10" i="11"/>
  <c r="A9" i="11"/>
  <c r="A8" i="11"/>
  <c r="A7" i="11"/>
  <c r="A6" i="11"/>
  <c r="A5" i="11"/>
  <c r="A4" i="11"/>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M4" i="9"/>
  <c r="N6" i="9"/>
  <c r="N5" i="9"/>
  <c r="N4" i="9"/>
  <c r="M6" i="9"/>
  <c r="L6" i="9" s="1"/>
  <c r="L5" i="9"/>
  <c r="J6" i="9"/>
  <c r="I6" i="9"/>
  <c r="J4" i="9"/>
  <c r="I4" i="9"/>
  <c r="K4" i="9" s="1"/>
  <c r="Q4" i="9" l="1"/>
  <c r="K6" i="9"/>
  <c r="Q6" i="9" s="1"/>
  <c r="A6" i="9" l="1"/>
  <c r="A5" i="9"/>
  <c r="A4" i="9"/>
  <c r="P6" i="9"/>
  <c r="P5" i="9"/>
  <c r="L3" i="9"/>
  <c r="P3" i="9" l="1"/>
  <c r="N3" i="7" l="1"/>
  <c r="D3" i="7" s="1"/>
  <c r="L8" i="7"/>
  <c r="N11" i="1"/>
  <c r="N3" i="1"/>
  <c r="I12" i="8" l="1"/>
  <c r="N12" i="8" s="1"/>
  <c r="I11" i="8"/>
  <c r="N11" i="8" s="1"/>
  <c r="I9" i="8"/>
  <c r="N9" i="8" s="1"/>
  <c r="I8" i="8"/>
  <c r="I7" i="8"/>
  <c r="N7" i="8" s="1"/>
  <c r="I6" i="8"/>
  <c r="N6" i="8" s="1"/>
  <c r="I4" i="8"/>
  <c r="N4" i="8" s="1"/>
  <c r="I3" i="8"/>
  <c r="N3" i="8" s="1"/>
  <c r="F12" i="8" l="1"/>
  <c r="M12" i="8" s="1"/>
  <c r="F11" i="8"/>
  <c r="M11" i="8" s="1"/>
  <c r="F10" i="8"/>
  <c r="M10" i="8" s="1"/>
  <c r="F9" i="8"/>
  <c r="M9" i="8" s="1"/>
  <c r="F8" i="8"/>
  <c r="M7" i="8"/>
  <c r="M6" i="8"/>
  <c r="M5" i="8"/>
  <c r="M4" i="8"/>
  <c r="M3" i="8"/>
  <c r="K12" i="8"/>
  <c r="K11" i="8"/>
  <c r="K10" i="8"/>
  <c r="K9" i="8"/>
  <c r="K8" i="8"/>
  <c r="K7" i="8"/>
  <c r="K6" i="8"/>
  <c r="K5" i="8"/>
  <c r="K4" i="8"/>
  <c r="A12" i="8"/>
  <c r="A11" i="8"/>
  <c r="A10" i="8"/>
  <c r="A9" i="8"/>
  <c r="A8" i="8"/>
  <c r="A7" i="8"/>
  <c r="A6" i="8"/>
  <c r="A5" i="8"/>
  <c r="A4" i="8"/>
  <c r="C4" i="6"/>
  <c r="C12" i="8"/>
  <c r="C11" i="8"/>
  <c r="C10" i="8"/>
  <c r="C9" i="8"/>
  <c r="C8" i="8"/>
  <c r="C7" i="8"/>
  <c r="C6" i="8"/>
  <c r="C5" i="8"/>
  <c r="C4" i="8"/>
  <c r="H12" i="8"/>
  <c r="H11" i="8"/>
  <c r="H10" i="8"/>
  <c r="H9" i="8"/>
  <c r="H4" i="8"/>
  <c r="H5" i="8"/>
  <c r="H6" i="8"/>
  <c r="B3" i="9" l="1"/>
  <c r="C14" i="6"/>
  <c r="B3" i="13"/>
  <c r="B3" i="11"/>
  <c r="B3" i="12"/>
  <c r="B3" i="10"/>
  <c r="B4" i="10" s="1"/>
  <c r="B3" i="7"/>
  <c r="B3" i="1"/>
  <c r="B3" i="8"/>
  <c r="B12" i="8" s="1"/>
  <c r="N8" i="8"/>
  <c r="M8" i="8" s="1"/>
  <c r="B5" i="8"/>
  <c r="B9" i="8"/>
  <c r="B6" i="8"/>
  <c r="B10" i="8"/>
  <c r="B11" i="8"/>
  <c r="B7" i="8"/>
  <c r="B4" i="8"/>
  <c r="B8" i="8"/>
  <c r="H7" i="8"/>
  <c r="B4" i="11" l="1"/>
  <c r="B10" i="11"/>
  <c r="B14" i="11"/>
  <c r="B5" i="11"/>
  <c r="B15" i="11"/>
  <c r="B11" i="11"/>
  <c r="B9" i="11"/>
  <c r="B16" i="11"/>
  <c r="B7" i="11"/>
  <c r="B6" i="11"/>
  <c r="B12" i="11"/>
  <c r="B13" i="11"/>
  <c r="B8" i="11"/>
  <c r="B5" i="12"/>
  <c r="B20" i="12"/>
  <c r="B12" i="12"/>
  <c r="B23" i="12"/>
  <c r="B7" i="12"/>
  <c r="B18" i="12"/>
  <c r="B29" i="12"/>
  <c r="B13" i="12"/>
  <c r="B14" i="12"/>
  <c r="B9" i="12"/>
  <c r="B28" i="12"/>
  <c r="B27" i="12"/>
  <c r="B22" i="12"/>
  <c r="B6" i="12"/>
  <c r="B4" i="12"/>
  <c r="B24" i="12"/>
  <c r="B19" i="12"/>
  <c r="B30" i="12"/>
  <c r="B25" i="12"/>
  <c r="B16" i="12"/>
  <c r="B8" i="12"/>
  <c r="B15" i="12"/>
  <c r="B26" i="12"/>
  <c r="B10" i="12"/>
  <c r="B21" i="12"/>
  <c r="B11" i="12"/>
  <c r="B17" i="12"/>
  <c r="B6" i="9"/>
  <c r="B5" i="9"/>
  <c r="B4" i="9"/>
  <c r="A4" i="13"/>
  <c r="B4" i="13"/>
  <c r="F4" i="13"/>
  <c r="G4" i="13"/>
  <c r="T4" i="13" s="1"/>
  <c r="A5" i="13"/>
  <c r="B5" i="13"/>
  <c r="F5" i="13"/>
  <c r="G5" i="13"/>
  <c r="T5" i="13" s="1"/>
  <c r="A6" i="13"/>
  <c r="B6" i="13"/>
  <c r="F6" i="13"/>
  <c r="G6" i="13"/>
  <c r="T6" i="13" s="1"/>
  <c r="A7" i="13"/>
  <c r="B7" i="13"/>
  <c r="F7" i="13"/>
  <c r="G7" i="13"/>
  <c r="T7" i="13" s="1"/>
  <c r="Q30" i="10"/>
  <c r="P30" i="10"/>
  <c r="Q29" i="10"/>
  <c r="P29" i="10"/>
  <c r="Q28" i="10"/>
  <c r="P28" i="10"/>
  <c r="Q27" i="10"/>
  <c r="P27" i="10"/>
  <c r="Q26" i="10"/>
  <c r="P26" i="10"/>
  <c r="Q25" i="10"/>
  <c r="P25" i="10"/>
  <c r="Q24" i="10"/>
  <c r="P24" i="10"/>
  <c r="Q23" i="10"/>
  <c r="P23" i="10"/>
  <c r="Q22" i="10"/>
  <c r="P22" i="10"/>
  <c r="Q21" i="10"/>
  <c r="P21" i="10"/>
  <c r="Q20" i="10"/>
  <c r="P20" i="10"/>
  <c r="Q19" i="10"/>
  <c r="P19" i="10"/>
  <c r="Q18" i="10"/>
  <c r="P18" i="10"/>
  <c r="Q17" i="10"/>
  <c r="P17" i="10"/>
  <c r="Q16" i="10"/>
  <c r="P16" i="10"/>
  <c r="Q15" i="10"/>
  <c r="P15" i="10"/>
  <c r="Q14" i="10"/>
  <c r="P14" i="10"/>
  <c r="Q13" i="10"/>
  <c r="P13" i="10"/>
  <c r="Q12" i="10"/>
  <c r="P12" i="10"/>
  <c r="Q11" i="10"/>
  <c r="P11" i="10"/>
  <c r="Q10" i="10"/>
  <c r="P10" i="10"/>
  <c r="Q9" i="10"/>
  <c r="P9" i="10"/>
  <c r="Q8" i="10"/>
  <c r="P8" i="10"/>
  <c r="Q7" i="10"/>
  <c r="P7" i="10"/>
  <c r="Q6" i="10"/>
  <c r="P6" i="10"/>
  <c r="Q5" i="10"/>
  <c r="P5" i="10"/>
  <c r="Q4" i="10"/>
  <c r="P4" i="10"/>
  <c r="L4" i="9"/>
  <c r="L7" i="7"/>
  <c r="L6" i="7"/>
  <c r="L5" i="7"/>
  <c r="L4" i="7"/>
  <c r="U4" i="13" l="1"/>
  <c r="V4" i="13"/>
  <c r="W4" i="13"/>
  <c r="W7" i="13"/>
  <c r="U7" i="13"/>
  <c r="V7" i="13"/>
  <c r="V5" i="13"/>
  <c r="U5" i="13"/>
  <c r="W5" i="13"/>
  <c r="W6" i="13"/>
  <c r="V6" i="13"/>
  <c r="U6" i="13"/>
  <c r="Q30" i="12"/>
  <c r="P30" i="12"/>
  <c r="O30" i="12"/>
  <c r="Q29" i="12"/>
  <c r="P29" i="12"/>
  <c r="O29" i="12"/>
  <c r="Q28" i="12"/>
  <c r="P28" i="12"/>
  <c r="O28" i="12"/>
  <c r="Q27" i="12"/>
  <c r="P27" i="12"/>
  <c r="O27" i="12"/>
  <c r="Q26" i="12"/>
  <c r="P26" i="12"/>
  <c r="O26" i="12"/>
  <c r="Q25" i="12"/>
  <c r="P25" i="12"/>
  <c r="O25" i="12"/>
  <c r="Q24" i="12"/>
  <c r="P24" i="12"/>
  <c r="O24" i="12"/>
  <c r="Q23" i="12"/>
  <c r="P23" i="12"/>
  <c r="O23" i="12"/>
  <c r="Q22" i="12"/>
  <c r="P22" i="12"/>
  <c r="O22" i="12"/>
  <c r="Q21" i="12"/>
  <c r="P21" i="12"/>
  <c r="O21" i="12"/>
  <c r="Q20" i="12"/>
  <c r="P20" i="12"/>
  <c r="O20" i="12"/>
  <c r="Q19" i="12"/>
  <c r="P19" i="12"/>
  <c r="O19" i="12"/>
  <c r="Q18" i="12"/>
  <c r="P18" i="12"/>
  <c r="O18" i="12"/>
  <c r="Q17" i="12"/>
  <c r="P17" i="12"/>
  <c r="O17" i="12"/>
  <c r="Q16" i="12"/>
  <c r="P16" i="12"/>
  <c r="O16" i="12"/>
  <c r="Q15" i="12"/>
  <c r="P15" i="12"/>
  <c r="O15" i="12"/>
  <c r="Q14" i="12"/>
  <c r="P14" i="12"/>
  <c r="O14" i="12"/>
  <c r="Q13" i="12"/>
  <c r="P13" i="12"/>
  <c r="O13" i="12"/>
  <c r="Q12" i="12"/>
  <c r="P12" i="12"/>
  <c r="O12" i="12"/>
  <c r="Q11" i="12"/>
  <c r="P11" i="12"/>
  <c r="O11" i="12"/>
  <c r="Q10" i="12"/>
  <c r="P10" i="12"/>
  <c r="O10" i="12"/>
  <c r="Q9" i="12"/>
  <c r="P9" i="12"/>
  <c r="O9" i="12"/>
  <c r="Q8" i="12"/>
  <c r="P8" i="12"/>
  <c r="O8" i="12"/>
  <c r="Q7" i="12"/>
  <c r="P7" i="12"/>
  <c r="O7" i="12"/>
  <c r="Q6" i="12"/>
  <c r="P6" i="12"/>
  <c r="O6" i="12"/>
  <c r="Q5" i="12"/>
  <c r="P5" i="12"/>
  <c r="O5" i="12"/>
  <c r="Q4" i="12"/>
  <c r="P4" i="12"/>
  <c r="O4" i="12"/>
  <c r="X4" i="13" l="1"/>
  <c r="Y4" i="13" s="1"/>
  <c r="X7" i="13"/>
  <c r="Y7" i="13" s="1"/>
  <c r="X5" i="13"/>
  <c r="Y5" i="13" s="1"/>
  <c r="X6" i="13"/>
  <c r="Y6" i="13" s="1"/>
  <c r="L18" i="1"/>
  <c r="L17" i="1"/>
  <c r="L16" i="1"/>
  <c r="L15" i="1"/>
  <c r="L14" i="1"/>
  <c r="L13" i="1"/>
  <c r="L12" i="1"/>
  <c r="L11" i="1"/>
  <c r="L10" i="1"/>
  <c r="L9" i="1"/>
  <c r="L8" i="1"/>
  <c r="L7" i="1"/>
  <c r="L6" i="1"/>
  <c r="L5" i="1"/>
  <c r="L4" i="1"/>
  <c r="S6" i="13" l="1"/>
  <c r="R6" i="13" s="1"/>
  <c r="C6" i="13" s="1"/>
  <c r="S7" i="13"/>
  <c r="R7" i="13" s="1"/>
  <c r="C7" i="13" s="1"/>
  <c r="S5" i="13"/>
  <c r="R5" i="13" s="1"/>
  <c r="C5" i="13" s="1"/>
  <c r="S4" i="13"/>
  <c r="R4" i="13" s="1"/>
  <c r="A11" i="1"/>
  <c r="B18" i="1"/>
  <c r="C11" i="1"/>
  <c r="C12" i="1"/>
  <c r="F18" i="1"/>
  <c r="C18" i="1"/>
  <c r="A18" i="1"/>
  <c r="F17" i="1"/>
  <c r="C17" i="1"/>
  <c r="A17" i="1"/>
  <c r="F16" i="1"/>
  <c r="C16" i="1"/>
  <c r="A16" i="1"/>
  <c r="F15" i="1"/>
  <c r="C15" i="1"/>
  <c r="A15" i="1"/>
  <c r="F14" i="1"/>
  <c r="C14" i="1"/>
  <c r="A14" i="1"/>
  <c r="F13" i="1"/>
  <c r="C13" i="1"/>
  <c r="A13" i="1"/>
  <c r="F12" i="1"/>
  <c r="A12" i="1"/>
  <c r="O13" i="1" l="1"/>
  <c r="N13" i="1" s="1"/>
  <c r="O15" i="1"/>
  <c r="N15" i="1" s="1"/>
  <c r="O17" i="1"/>
  <c r="N17" i="1" s="1"/>
  <c r="O14" i="1"/>
  <c r="N14" i="1" s="1"/>
  <c r="O16" i="1"/>
  <c r="N16" i="1" s="1"/>
  <c r="O18" i="1"/>
  <c r="N18" i="1" s="1"/>
  <c r="O12" i="1"/>
  <c r="N12" i="1" s="1"/>
  <c r="C4" i="13"/>
  <c r="C23" i="6"/>
  <c r="B15" i="1"/>
  <c r="B12" i="1"/>
  <c r="B17" i="1"/>
  <c r="B13" i="1"/>
  <c r="B11" i="1"/>
  <c r="B14" i="1"/>
  <c r="B16" i="1"/>
  <c r="C21" i="6" l="1"/>
  <c r="F4" i="1"/>
  <c r="O4" i="1" l="1"/>
  <c r="N4" i="1" s="1"/>
  <c r="N4" i="7"/>
  <c r="D4" i="7" s="1"/>
  <c r="S30" i="12"/>
  <c r="D30" i="12" s="1"/>
  <c r="S29" i="12"/>
  <c r="D29" i="12" s="1"/>
  <c r="S28" i="12"/>
  <c r="D28" i="12" s="1"/>
  <c r="S27" i="12"/>
  <c r="D27" i="12" s="1"/>
  <c r="S26" i="12"/>
  <c r="D26" i="12" s="1"/>
  <c r="S25" i="12"/>
  <c r="D25" i="12" s="1"/>
  <c r="S24" i="12"/>
  <c r="D24" i="12" s="1"/>
  <c r="S23" i="12"/>
  <c r="D23" i="12" s="1"/>
  <c r="S22" i="12"/>
  <c r="D22" i="12" s="1"/>
  <c r="S21" i="12"/>
  <c r="D21" i="12" s="1"/>
  <c r="S20" i="12"/>
  <c r="D20" i="12" s="1"/>
  <c r="T17" i="12"/>
  <c r="C30" i="12"/>
  <c r="C29" i="12"/>
  <c r="C28" i="12"/>
  <c r="C27" i="12"/>
  <c r="C26" i="12"/>
  <c r="C25" i="12"/>
  <c r="C24" i="12"/>
  <c r="C23" i="12"/>
  <c r="C22" i="12"/>
  <c r="C21" i="12"/>
  <c r="C20" i="12"/>
  <c r="C19" i="12"/>
  <c r="C18" i="12"/>
  <c r="C17" i="12"/>
  <c r="C16" i="12"/>
  <c r="C15" i="12"/>
  <c r="C14" i="12"/>
  <c r="C13" i="12"/>
  <c r="C12" i="12"/>
  <c r="C11" i="12"/>
  <c r="C10" i="12"/>
  <c r="C9" i="12"/>
  <c r="C8" i="12"/>
  <c r="C7" i="12"/>
  <c r="C6" i="12"/>
  <c r="C5" i="12"/>
  <c r="C4" i="12"/>
  <c r="S19" i="12" l="1"/>
  <c r="D19" i="12" s="1"/>
  <c r="S18" i="12"/>
  <c r="D18" i="12" s="1"/>
  <c r="S17" i="12"/>
  <c r="F8" i="1"/>
  <c r="O8" i="1" s="1"/>
  <c r="F5" i="1"/>
  <c r="F9" i="1"/>
  <c r="F6" i="1"/>
  <c r="F10" i="1"/>
  <c r="F7" i="1"/>
  <c r="O7" i="1" s="1"/>
  <c r="M16" i="11"/>
  <c r="L16" i="11"/>
  <c r="C16" i="11"/>
  <c r="M15" i="11"/>
  <c r="L15" i="11"/>
  <c r="C15" i="11"/>
  <c r="M14" i="11"/>
  <c r="L14" i="11"/>
  <c r="C14" i="11"/>
  <c r="M13" i="11"/>
  <c r="L13" i="11"/>
  <c r="C13" i="11"/>
  <c r="M12" i="11"/>
  <c r="L12" i="11"/>
  <c r="C12" i="11"/>
  <c r="M11" i="11"/>
  <c r="L11" i="11"/>
  <c r="C11" i="11"/>
  <c r="M10" i="11"/>
  <c r="L10" i="11"/>
  <c r="C10" i="11"/>
  <c r="M9" i="11"/>
  <c r="L9" i="11"/>
  <c r="C9" i="11"/>
  <c r="M8" i="11"/>
  <c r="L8" i="11"/>
  <c r="C8" i="11"/>
  <c r="M7" i="11"/>
  <c r="L7" i="11"/>
  <c r="C7" i="11"/>
  <c r="M6" i="11"/>
  <c r="L6" i="11"/>
  <c r="C6" i="11"/>
  <c r="M5" i="11"/>
  <c r="L5" i="11"/>
  <c r="C5" i="11"/>
  <c r="M4" i="11"/>
  <c r="L4" i="11"/>
  <c r="C4" i="11"/>
  <c r="C22" i="6" l="1"/>
  <c r="D17" i="12"/>
  <c r="N8" i="1"/>
  <c r="O9" i="1"/>
  <c r="N9" i="1" s="1"/>
  <c r="O10" i="1"/>
  <c r="N10" i="1" s="1"/>
  <c r="O6" i="1"/>
  <c r="N6" i="1" s="1"/>
  <c r="N7" i="1"/>
  <c r="O5" i="1"/>
  <c r="N5" i="1" s="1"/>
  <c r="O5" i="10"/>
  <c r="O6" i="10"/>
  <c r="O7" i="10"/>
  <c r="O8" i="10"/>
  <c r="O9" i="10"/>
  <c r="O10" i="10"/>
  <c r="O11" i="10"/>
  <c r="O12" i="10"/>
  <c r="O13" i="10"/>
  <c r="O14" i="10"/>
  <c r="O15" i="10"/>
  <c r="O16" i="10"/>
  <c r="O17" i="10"/>
  <c r="O18" i="10"/>
  <c r="O19" i="10"/>
  <c r="O20" i="10"/>
  <c r="O21" i="10"/>
  <c r="O22" i="10"/>
  <c r="O23" i="10"/>
  <c r="O24" i="10"/>
  <c r="O25" i="10"/>
  <c r="O26" i="10"/>
  <c r="O27" i="10"/>
  <c r="O28" i="10"/>
  <c r="O29" i="10"/>
  <c r="O30" i="10"/>
  <c r="O4" i="10"/>
  <c r="S30" i="10"/>
  <c r="D30" i="10" s="1"/>
  <c r="S29" i="10"/>
  <c r="D29" i="10" s="1"/>
  <c r="S28" i="10"/>
  <c r="D28" i="10" s="1"/>
  <c r="S27" i="10"/>
  <c r="D27" i="10" s="1"/>
  <c r="S26" i="10"/>
  <c r="D26" i="10" s="1"/>
  <c r="S25" i="10"/>
  <c r="D25" i="10" s="1"/>
  <c r="S23" i="10"/>
  <c r="D23" i="10" s="1"/>
  <c r="S22" i="10"/>
  <c r="D22" i="10" s="1"/>
  <c r="S21" i="10"/>
  <c r="D21" i="10" s="1"/>
  <c r="S20" i="10"/>
  <c r="D20" i="10" s="1"/>
  <c r="S18" i="10"/>
  <c r="D18" i="10" s="1"/>
  <c r="T17" i="10"/>
  <c r="S17" i="10" s="1"/>
  <c r="D17" i="10" s="1"/>
  <c r="S10" i="10"/>
  <c r="D10" i="10" s="1"/>
  <c r="S4" i="10"/>
  <c r="D4" i="10" s="1"/>
  <c r="C16" i="6" l="1"/>
  <c r="S3" i="10"/>
  <c r="S19" i="10"/>
  <c r="D19" i="10" s="1"/>
  <c r="S5" i="10"/>
  <c r="D5" i="10" s="1"/>
  <c r="S24" i="10"/>
  <c r="D24" i="10" s="1"/>
  <c r="D6" i="10" l="1"/>
  <c r="D3" i="10"/>
  <c r="C4" i="10"/>
  <c r="B5" i="10"/>
  <c r="C5" i="10"/>
  <c r="B6" i="10"/>
  <c r="C6" i="10"/>
  <c r="B7" i="10"/>
  <c r="C7" i="10"/>
  <c r="B8" i="10"/>
  <c r="C8" i="10"/>
  <c r="B9" i="10"/>
  <c r="C9" i="10"/>
  <c r="B10" i="10"/>
  <c r="C10" i="10"/>
  <c r="B11" i="10"/>
  <c r="C11" i="10"/>
  <c r="B12" i="10"/>
  <c r="C12" i="10"/>
  <c r="B13" i="10"/>
  <c r="C13" i="10"/>
  <c r="B14" i="10"/>
  <c r="C14" i="10"/>
  <c r="B15" i="10"/>
  <c r="C15" i="10"/>
  <c r="B16" i="10"/>
  <c r="C16" i="10"/>
  <c r="B17" i="10"/>
  <c r="C17" i="10"/>
  <c r="B18" i="10"/>
  <c r="C18" i="10"/>
  <c r="B19" i="10"/>
  <c r="C19" i="10"/>
  <c r="B20" i="10"/>
  <c r="C20" i="10"/>
  <c r="B21" i="10"/>
  <c r="C21" i="10"/>
  <c r="B22" i="10"/>
  <c r="C22" i="10"/>
  <c r="B23" i="10"/>
  <c r="C23" i="10"/>
  <c r="B24" i="10"/>
  <c r="C24" i="10"/>
  <c r="B25" i="10"/>
  <c r="C25" i="10"/>
  <c r="B26" i="10"/>
  <c r="C26" i="10"/>
  <c r="B27" i="10"/>
  <c r="C27" i="10"/>
  <c r="B28" i="10"/>
  <c r="C28" i="10"/>
  <c r="B29" i="10"/>
  <c r="C29" i="10"/>
  <c r="B30" i="10"/>
  <c r="C30" i="10"/>
  <c r="C20" i="6" l="1"/>
  <c r="P4" i="9"/>
  <c r="C19" i="6" l="1"/>
  <c r="C18" i="6"/>
  <c r="O8" i="7" l="1"/>
  <c r="B8" i="7"/>
  <c r="A8" i="7"/>
  <c r="O7" i="7"/>
  <c r="B7" i="7"/>
  <c r="A7" i="7"/>
  <c r="O6" i="7"/>
  <c r="B6" i="7"/>
  <c r="A6" i="7"/>
  <c r="O5" i="7"/>
  <c r="B5" i="7"/>
  <c r="A5" i="7"/>
  <c r="B4" i="7"/>
  <c r="A4" i="7"/>
  <c r="N6" i="7" l="1"/>
  <c r="D6" i="7" s="1"/>
  <c r="N8" i="7"/>
  <c r="D8" i="7" s="1"/>
  <c r="N5" i="7"/>
  <c r="D5" i="7" s="1"/>
  <c r="N7" i="7"/>
  <c r="D7" i="7" s="1"/>
  <c r="C17" i="6" l="1"/>
  <c r="C15" i="6"/>
  <c r="C10" i="1"/>
  <c r="C9" i="1"/>
  <c r="C8" i="1"/>
  <c r="C7" i="1"/>
  <c r="C6" i="1"/>
  <c r="C5" i="1"/>
  <c r="C4" i="1"/>
  <c r="B10" i="1"/>
  <c r="B9" i="1"/>
  <c r="B8" i="1"/>
  <c r="B7" i="1"/>
  <c r="B6" i="1"/>
  <c r="B5" i="1"/>
  <c r="B4" i="1"/>
  <c r="A10" i="1"/>
  <c r="A9" i="1"/>
  <c r="A8" i="1"/>
  <c r="A7" i="1"/>
  <c r="A6" i="1"/>
  <c r="A5" i="1"/>
  <c r="I326" i="5" l="1"/>
  <c r="I325" i="5"/>
  <c r="I324" i="5"/>
  <c r="I323" i="5"/>
  <c r="I322" i="5"/>
  <c r="I321" i="5"/>
  <c r="I320" i="5"/>
  <c r="I319" i="5"/>
  <c r="I318" i="5"/>
  <c r="I317" i="5"/>
  <c r="I316" i="5"/>
  <c r="I315" i="5"/>
  <c r="I314" i="5"/>
  <c r="I313" i="5"/>
  <c r="I312" i="5"/>
  <c r="I311" i="5"/>
  <c r="I310" i="5"/>
  <c r="I309" i="5"/>
  <c r="I308" i="5"/>
  <c r="I307" i="5"/>
  <c r="I306" i="5"/>
  <c r="I305" i="5"/>
  <c r="I304" i="5"/>
  <c r="I303" i="5"/>
  <c r="I302" i="5"/>
  <c r="I301" i="5"/>
  <c r="I300" i="5"/>
  <c r="I299" i="5"/>
  <c r="I298" i="5"/>
  <c r="I297" i="5"/>
  <c r="I296" i="5"/>
  <c r="I295" i="5"/>
  <c r="I294" i="5"/>
  <c r="I293" i="5"/>
  <c r="I292" i="5"/>
  <c r="I291" i="5"/>
  <c r="I290" i="5"/>
  <c r="I289" i="5"/>
  <c r="I288" i="5"/>
  <c r="I287" i="5"/>
  <c r="I286" i="5"/>
  <c r="I285" i="5"/>
  <c r="I284" i="5"/>
  <c r="I283" i="5"/>
  <c r="I282" i="5"/>
  <c r="I281" i="5"/>
  <c r="I280" i="5"/>
  <c r="I279" i="5"/>
  <c r="I278" i="5"/>
  <c r="I277" i="5"/>
  <c r="I276" i="5"/>
  <c r="I275" i="5"/>
  <c r="I274" i="5"/>
  <c r="I273" i="5"/>
  <c r="I272" i="5"/>
  <c r="I271" i="5"/>
  <c r="I270" i="5"/>
  <c r="I269" i="5"/>
  <c r="I268" i="5"/>
  <c r="I267" i="5"/>
  <c r="I266" i="5"/>
  <c r="I265" i="5"/>
  <c r="I264" i="5"/>
  <c r="I263" i="5"/>
  <c r="I262" i="5"/>
  <c r="I261" i="5"/>
  <c r="I260" i="5"/>
  <c r="I259" i="5"/>
  <c r="I258" i="5"/>
  <c r="I257" i="5"/>
  <c r="I256" i="5"/>
  <c r="I255" i="5"/>
  <c r="I254" i="5"/>
  <c r="I253" i="5"/>
  <c r="I252" i="5"/>
  <c r="I251" i="5"/>
  <c r="I250" i="5"/>
  <c r="I249" i="5"/>
  <c r="I248" i="5"/>
  <c r="I247" i="5"/>
  <c r="I246" i="5"/>
  <c r="I245" i="5"/>
  <c r="I244" i="5"/>
  <c r="I243" i="5"/>
  <c r="I242" i="5"/>
  <c r="I241" i="5"/>
  <c r="I240" i="5"/>
  <c r="I239" i="5"/>
  <c r="I238" i="5"/>
  <c r="I237" i="5"/>
  <c r="I236" i="5"/>
  <c r="I235" i="5"/>
  <c r="I234" i="5"/>
  <c r="I233" i="5"/>
  <c r="I232" i="5"/>
  <c r="I231" i="5"/>
  <c r="I230" i="5"/>
  <c r="I229" i="5"/>
  <c r="I228" i="5"/>
  <c r="I227" i="5"/>
  <c r="I226" i="5"/>
  <c r="I225" i="5"/>
  <c r="I224" i="5"/>
  <c r="I223" i="5"/>
  <c r="I222" i="5"/>
  <c r="I221" i="5"/>
  <c r="I220" i="5"/>
  <c r="I219" i="5"/>
  <c r="I218" i="5"/>
  <c r="I217" i="5"/>
  <c r="I216" i="5"/>
  <c r="I215" i="5"/>
  <c r="I214" i="5"/>
  <c r="I213" i="5"/>
  <c r="I212" i="5"/>
  <c r="I211" i="5"/>
  <c r="I210" i="5"/>
  <c r="I209" i="5"/>
  <c r="I208" i="5"/>
  <c r="I207" i="5"/>
  <c r="I206" i="5"/>
  <c r="I205" i="5"/>
  <c r="I204" i="5"/>
  <c r="I203" i="5"/>
  <c r="I202" i="5"/>
  <c r="I201" i="5"/>
  <c r="I200" i="5"/>
  <c r="I199" i="5"/>
  <c r="I198" i="5"/>
  <c r="I197" i="5"/>
  <c r="I196" i="5"/>
  <c r="I195" i="5"/>
  <c r="I194" i="5"/>
  <c r="I193" i="5"/>
  <c r="I192"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 i="5"/>
  <c r="I3" i="5"/>
  <c r="I2" i="5"/>
  <c r="G3" i="4" l="1"/>
  <c r="H3" i="4" s="1"/>
  <c r="G4" i="4"/>
  <c r="H4" i="4" s="1"/>
  <c r="G5" i="4"/>
  <c r="H5" i="4" s="1"/>
  <c r="G6" i="4"/>
  <c r="H6" i="4" s="1"/>
  <c r="G7" i="4"/>
  <c r="H7" i="4" s="1"/>
  <c r="G8" i="4"/>
  <c r="H8" i="4" s="1"/>
  <c r="G9" i="4"/>
  <c r="H9" i="4" s="1"/>
  <c r="G10" i="4"/>
  <c r="H10" i="4" s="1"/>
  <c r="G11" i="4"/>
  <c r="H11" i="4" s="1"/>
  <c r="G12" i="4"/>
  <c r="H12" i="4" s="1"/>
  <c r="G13" i="4"/>
  <c r="H13" i="4" s="1"/>
  <c r="G14" i="4"/>
  <c r="H14" i="4" s="1"/>
  <c r="G15" i="4"/>
  <c r="H15" i="4" s="1"/>
  <c r="G16" i="4"/>
  <c r="H16" i="4" s="1"/>
  <c r="G17" i="4"/>
  <c r="H17" i="4" s="1"/>
  <c r="G18" i="4"/>
  <c r="H18" i="4" s="1"/>
  <c r="G19" i="4"/>
  <c r="H19" i="4" s="1"/>
  <c r="G20" i="4"/>
  <c r="H20" i="4" s="1"/>
  <c r="G21" i="4"/>
  <c r="H21" i="4" s="1"/>
  <c r="G22" i="4"/>
  <c r="H22" i="4" s="1"/>
  <c r="G23" i="4"/>
  <c r="H23" i="4" s="1"/>
  <c r="G24" i="4"/>
  <c r="H24" i="4" s="1"/>
  <c r="G25" i="4"/>
  <c r="H25" i="4" s="1"/>
  <c r="G26" i="4"/>
  <c r="H26" i="4" s="1"/>
  <c r="G27" i="4"/>
  <c r="H27" i="4" s="1"/>
  <c r="G28" i="4"/>
  <c r="H28" i="4" s="1"/>
  <c r="G29" i="4"/>
  <c r="H29" i="4" s="1"/>
  <c r="G30" i="4"/>
  <c r="H30" i="4" s="1"/>
  <c r="G31" i="4"/>
  <c r="H31" i="4" s="1"/>
  <c r="G32" i="4"/>
  <c r="H32" i="4" s="1"/>
  <c r="G33" i="4"/>
  <c r="H33" i="4" s="1"/>
  <c r="G34" i="4"/>
  <c r="H34" i="4" s="1"/>
  <c r="G35" i="4"/>
  <c r="H35" i="4" s="1"/>
  <c r="G36" i="4"/>
  <c r="H36" i="4" s="1"/>
  <c r="G37" i="4"/>
  <c r="H37" i="4" s="1"/>
  <c r="G38" i="4"/>
  <c r="H38" i="4" s="1"/>
  <c r="G39" i="4"/>
  <c r="H39" i="4" s="1"/>
  <c r="G40" i="4"/>
  <c r="H40" i="4" s="1"/>
  <c r="G41" i="4"/>
  <c r="H41" i="4" s="1"/>
  <c r="G42" i="4"/>
  <c r="H42" i="4" s="1"/>
  <c r="G43" i="4"/>
  <c r="H43" i="4" s="1"/>
  <c r="G44" i="4"/>
  <c r="H44" i="4" s="1"/>
  <c r="G45" i="4"/>
  <c r="H45" i="4" s="1"/>
  <c r="G46" i="4"/>
  <c r="H46" i="4" s="1"/>
  <c r="G47" i="4"/>
  <c r="H47" i="4" s="1"/>
  <c r="G48" i="4"/>
  <c r="H48" i="4" s="1"/>
  <c r="G49" i="4"/>
  <c r="H49" i="4" s="1"/>
  <c r="G50" i="4"/>
  <c r="H50" i="4" s="1"/>
  <c r="G51" i="4"/>
  <c r="H51" i="4" s="1"/>
  <c r="G52" i="4"/>
  <c r="H52" i="4" s="1"/>
  <c r="G53" i="4"/>
  <c r="H53" i="4" s="1"/>
  <c r="G54" i="4"/>
  <c r="H54" i="4" s="1"/>
  <c r="G55" i="4"/>
  <c r="H55" i="4" s="1"/>
  <c r="G56" i="4"/>
  <c r="H56" i="4" s="1"/>
  <c r="G57" i="4"/>
  <c r="H57" i="4" s="1"/>
  <c r="G58" i="4"/>
  <c r="H58" i="4" s="1"/>
  <c r="G59" i="4"/>
  <c r="H59" i="4" s="1"/>
  <c r="G60" i="4"/>
  <c r="H60" i="4" s="1"/>
  <c r="G61" i="4"/>
  <c r="H61" i="4" s="1"/>
  <c r="G62" i="4"/>
  <c r="H62" i="4" s="1"/>
  <c r="G63" i="4"/>
  <c r="H63" i="4" s="1"/>
  <c r="G64" i="4"/>
  <c r="H64" i="4" s="1"/>
  <c r="G65" i="4"/>
  <c r="H65" i="4" s="1"/>
  <c r="G66" i="4"/>
  <c r="H66" i="4" s="1"/>
  <c r="G67" i="4"/>
  <c r="H67" i="4" s="1"/>
  <c r="G68" i="4"/>
  <c r="H68" i="4" s="1"/>
  <c r="G69" i="4"/>
  <c r="H69" i="4" s="1"/>
  <c r="G70" i="4"/>
  <c r="H70" i="4" s="1"/>
  <c r="G71" i="4"/>
  <c r="H71" i="4" s="1"/>
  <c r="G72" i="4"/>
  <c r="H72" i="4" s="1"/>
  <c r="G73" i="4"/>
  <c r="H73" i="4" s="1"/>
  <c r="G74" i="4"/>
  <c r="H74" i="4" s="1"/>
  <c r="G75" i="4"/>
  <c r="H75" i="4" s="1"/>
  <c r="G76" i="4"/>
  <c r="H76" i="4" s="1"/>
  <c r="G77" i="4"/>
  <c r="H77" i="4" s="1"/>
  <c r="G78" i="4"/>
  <c r="H78" i="4" s="1"/>
  <c r="G79" i="4"/>
  <c r="H79" i="4" s="1"/>
  <c r="G80" i="4"/>
  <c r="H80" i="4" s="1"/>
  <c r="G81" i="4"/>
  <c r="H81" i="4" s="1"/>
  <c r="G82" i="4"/>
  <c r="H82" i="4" s="1"/>
  <c r="G83" i="4"/>
  <c r="H83" i="4" s="1"/>
  <c r="G84" i="4"/>
  <c r="H84" i="4" s="1"/>
  <c r="G85" i="4"/>
  <c r="H85" i="4" s="1"/>
  <c r="G86" i="4"/>
  <c r="H86" i="4" s="1"/>
  <c r="G87" i="4"/>
  <c r="H87" i="4" s="1"/>
  <c r="G88" i="4"/>
  <c r="H88" i="4" s="1"/>
  <c r="G89" i="4"/>
  <c r="H89" i="4" s="1"/>
  <c r="G90" i="4"/>
  <c r="H90" i="4" s="1"/>
  <c r="G91" i="4"/>
  <c r="H91" i="4" s="1"/>
  <c r="G92" i="4"/>
  <c r="H92" i="4" s="1"/>
  <c r="G93" i="4"/>
  <c r="H93" i="4" s="1"/>
  <c r="G94" i="4"/>
  <c r="H94" i="4" s="1"/>
  <c r="G95" i="4"/>
  <c r="H95" i="4" s="1"/>
  <c r="G96" i="4"/>
  <c r="H96" i="4" s="1"/>
  <c r="G97" i="4"/>
  <c r="H97" i="4" s="1"/>
  <c r="G98" i="4"/>
  <c r="H98" i="4" s="1"/>
  <c r="G99" i="4"/>
  <c r="H99" i="4" s="1"/>
  <c r="G100" i="4"/>
  <c r="H100" i="4" s="1"/>
  <c r="G101" i="4"/>
  <c r="H101" i="4" s="1"/>
  <c r="G102" i="4"/>
  <c r="H102" i="4" s="1"/>
  <c r="G103" i="4"/>
  <c r="H103" i="4" s="1"/>
  <c r="G104" i="4"/>
  <c r="H104" i="4" s="1"/>
  <c r="G105" i="4"/>
  <c r="H105" i="4" s="1"/>
  <c r="G106" i="4"/>
  <c r="H106" i="4" s="1"/>
  <c r="G107" i="4"/>
  <c r="H107" i="4" s="1"/>
  <c r="G108" i="4"/>
  <c r="H108" i="4" s="1"/>
  <c r="G109" i="4"/>
  <c r="H109" i="4" s="1"/>
  <c r="G110" i="4"/>
  <c r="H110" i="4" s="1"/>
  <c r="G111" i="4"/>
  <c r="H111" i="4" s="1"/>
  <c r="G112" i="4"/>
  <c r="H112" i="4" s="1"/>
  <c r="G113" i="4"/>
  <c r="H113" i="4" s="1"/>
  <c r="G114" i="4"/>
  <c r="H114" i="4" s="1"/>
  <c r="G115" i="4"/>
  <c r="H115" i="4" s="1"/>
  <c r="G116" i="4"/>
  <c r="H116" i="4" s="1"/>
  <c r="G117" i="4"/>
  <c r="H117" i="4" s="1"/>
  <c r="G118" i="4"/>
  <c r="H118" i="4" s="1"/>
  <c r="G119" i="4"/>
  <c r="H119" i="4" s="1"/>
  <c r="G120" i="4"/>
  <c r="H120" i="4" s="1"/>
  <c r="G121" i="4"/>
  <c r="H121" i="4" s="1"/>
  <c r="G122" i="4"/>
  <c r="H122" i="4" s="1"/>
  <c r="G123" i="4"/>
  <c r="H123" i="4" s="1"/>
  <c r="G124" i="4"/>
  <c r="H124" i="4" s="1"/>
  <c r="G125" i="4"/>
  <c r="H125" i="4" s="1"/>
  <c r="G126" i="4"/>
  <c r="H126" i="4" s="1"/>
  <c r="G127" i="4"/>
  <c r="H127" i="4" s="1"/>
  <c r="G128" i="4"/>
  <c r="H128" i="4" s="1"/>
  <c r="G129" i="4"/>
  <c r="H129" i="4" s="1"/>
  <c r="G130" i="4"/>
  <c r="H130" i="4" s="1"/>
  <c r="G131" i="4"/>
  <c r="H131" i="4" s="1"/>
  <c r="G132" i="4"/>
  <c r="H132" i="4" s="1"/>
  <c r="G133" i="4"/>
  <c r="H133" i="4" s="1"/>
  <c r="G134" i="4"/>
  <c r="H134" i="4" s="1"/>
  <c r="G135" i="4"/>
  <c r="H135" i="4" s="1"/>
  <c r="G136" i="4"/>
  <c r="H136" i="4" s="1"/>
  <c r="G137" i="4"/>
  <c r="H137" i="4" s="1"/>
  <c r="G138" i="4"/>
  <c r="H138" i="4" s="1"/>
  <c r="G139" i="4"/>
  <c r="H139" i="4" s="1"/>
  <c r="G140" i="4"/>
  <c r="H140" i="4" s="1"/>
  <c r="G141" i="4"/>
  <c r="H141" i="4" s="1"/>
  <c r="G142" i="4"/>
  <c r="H142" i="4" s="1"/>
  <c r="G143" i="4"/>
  <c r="H143" i="4" s="1"/>
  <c r="G144" i="4"/>
  <c r="H144" i="4" s="1"/>
  <c r="G145" i="4"/>
  <c r="H145" i="4" s="1"/>
  <c r="G146" i="4"/>
  <c r="H146" i="4" s="1"/>
  <c r="G147" i="4"/>
  <c r="H147" i="4" s="1"/>
  <c r="G148" i="4"/>
  <c r="H148" i="4" s="1"/>
  <c r="G149" i="4"/>
  <c r="H149" i="4" s="1"/>
  <c r="G150" i="4"/>
  <c r="H150" i="4" s="1"/>
  <c r="G151" i="4"/>
  <c r="H151" i="4" s="1"/>
  <c r="G152" i="4"/>
  <c r="H152" i="4" s="1"/>
  <c r="G153" i="4"/>
  <c r="H153" i="4" s="1"/>
  <c r="G154" i="4"/>
  <c r="H154" i="4" s="1"/>
  <c r="G155" i="4"/>
  <c r="H155" i="4" s="1"/>
  <c r="G156" i="4"/>
  <c r="H156" i="4" s="1"/>
  <c r="G157" i="4"/>
  <c r="H157" i="4" s="1"/>
  <c r="G158" i="4"/>
  <c r="H158" i="4" s="1"/>
  <c r="G159" i="4"/>
  <c r="H159" i="4" s="1"/>
  <c r="G160" i="4"/>
  <c r="H160" i="4" s="1"/>
  <c r="G161" i="4"/>
  <c r="H161" i="4" s="1"/>
  <c r="G162" i="4"/>
  <c r="H162" i="4" s="1"/>
  <c r="G163" i="4"/>
  <c r="H163" i="4" s="1"/>
  <c r="G164" i="4"/>
  <c r="H164" i="4" s="1"/>
  <c r="G165" i="4"/>
  <c r="H165" i="4" s="1"/>
  <c r="G166" i="4"/>
  <c r="H166" i="4" s="1"/>
  <c r="G167" i="4"/>
  <c r="H167" i="4" s="1"/>
  <c r="G168" i="4"/>
  <c r="H168" i="4" s="1"/>
  <c r="G169" i="4"/>
  <c r="H169" i="4" s="1"/>
  <c r="G170" i="4"/>
  <c r="H170" i="4" s="1"/>
  <c r="G171" i="4"/>
  <c r="H171" i="4" s="1"/>
  <c r="G172" i="4"/>
  <c r="H172" i="4" s="1"/>
  <c r="G173" i="4"/>
  <c r="H173" i="4" s="1"/>
  <c r="G174" i="4"/>
  <c r="H174" i="4" s="1"/>
  <c r="G175" i="4"/>
  <c r="H175" i="4" s="1"/>
  <c r="G176" i="4"/>
  <c r="H176" i="4" s="1"/>
  <c r="G177" i="4"/>
  <c r="H177" i="4" s="1"/>
  <c r="G178" i="4"/>
  <c r="H178" i="4" s="1"/>
  <c r="G179" i="4"/>
  <c r="H179" i="4" s="1"/>
  <c r="G180" i="4"/>
  <c r="H180" i="4" s="1"/>
  <c r="G181" i="4"/>
  <c r="H181" i="4" s="1"/>
  <c r="G182" i="4"/>
  <c r="H182" i="4" s="1"/>
  <c r="G183" i="4"/>
  <c r="H183" i="4" s="1"/>
  <c r="G184" i="4"/>
  <c r="H184" i="4" s="1"/>
  <c r="G185" i="4"/>
  <c r="H185" i="4" s="1"/>
  <c r="G186" i="4"/>
  <c r="H186" i="4" s="1"/>
  <c r="G187" i="4"/>
  <c r="H187" i="4" s="1"/>
  <c r="G188" i="4"/>
  <c r="H188" i="4" s="1"/>
  <c r="G189" i="4"/>
  <c r="H189" i="4" s="1"/>
  <c r="G190" i="4"/>
  <c r="H190" i="4" s="1"/>
  <c r="G191" i="4"/>
  <c r="H191" i="4" s="1"/>
  <c r="G192" i="4"/>
  <c r="H192" i="4" s="1"/>
  <c r="G193" i="4"/>
  <c r="H193" i="4" s="1"/>
  <c r="G194" i="4"/>
  <c r="H194" i="4" s="1"/>
  <c r="G195" i="4"/>
  <c r="H195" i="4" s="1"/>
  <c r="G196" i="4"/>
  <c r="H196" i="4" s="1"/>
  <c r="G197" i="4"/>
  <c r="H197" i="4" s="1"/>
  <c r="G198" i="4"/>
  <c r="H198" i="4" s="1"/>
  <c r="G199" i="4"/>
  <c r="H199" i="4" s="1"/>
  <c r="G200" i="4"/>
  <c r="H200" i="4" s="1"/>
  <c r="G201" i="4"/>
  <c r="H201" i="4" s="1"/>
  <c r="G202" i="4"/>
  <c r="H202" i="4" s="1"/>
  <c r="G203" i="4"/>
  <c r="H203" i="4" s="1"/>
  <c r="G204" i="4"/>
  <c r="H204" i="4" s="1"/>
  <c r="G205" i="4"/>
  <c r="H205" i="4" s="1"/>
  <c r="G206" i="4"/>
  <c r="H206" i="4" s="1"/>
  <c r="G207" i="4"/>
  <c r="H207" i="4" s="1"/>
  <c r="G208" i="4"/>
  <c r="H208" i="4" s="1"/>
  <c r="G209" i="4"/>
  <c r="H209" i="4" s="1"/>
  <c r="G210" i="4"/>
  <c r="H210" i="4" s="1"/>
  <c r="G211" i="4"/>
  <c r="H211" i="4" s="1"/>
  <c r="G212" i="4"/>
  <c r="H212" i="4" s="1"/>
  <c r="G213" i="4"/>
  <c r="H213" i="4" s="1"/>
  <c r="G214" i="4"/>
  <c r="H214" i="4" s="1"/>
  <c r="G215" i="4"/>
  <c r="H215" i="4" s="1"/>
  <c r="G216" i="4"/>
  <c r="H216" i="4" s="1"/>
  <c r="G217" i="4"/>
  <c r="H217" i="4" s="1"/>
  <c r="G218" i="4"/>
  <c r="H218" i="4" s="1"/>
  <c r="G219" i="4"/>
  <c r="H219" i="4" s="1"/>
  <c r="G220" i="4"/>
  <c r="H220" i="4" s="1"/>
  <c r="G221" i="4"/>
  <c r="H221" i="4" s="1"/>
  <c r="G222" i="4"/>
  <c r="H222" i="4" s="1"/>
  <c r="G223" i="4"/>
  <c r="H223" i="4" s="1"/>
  <c r="G224" i="4"/>
  <c r="H224" i="4" s="1"/>
  <c r="G225" i="4"/>
  <c r="H225" i="4" s="1"/>
  <c r="G226" i="4"/>
  <c r="H226" i="4" s="1"/>
  <c r="G227" i="4"/>
  <c r="H227" i="4" s="1"/>
  <c r="G228" i="4"/>
  <c r="H228" i="4" s="1"/>
  <c r="G229" i="4"/>
  <c r="H229" i="4" s="1"/>
  <c r="G230" i="4"/>
  <c r="H230" i="4" s="1"/>
  <c r="G231" i="4"/>
  <c r="H231" i="4" s="1"/>
  <c r="G232" i="4"/>
  <c r="H232" i="4" s="1"/>
  <c r="G233" i="4"/>
  <c r="H233" i="4" s="1"/>
  <c r="G234" i="4"/>
  <c r="H234" i="4" s="1"/>
  <c r="G235" i="4"/>
  <c r="H235" i="4" s="1"/>
  <c r="G236" i="4"/>
  <c r="H236" i="4" s="1"/>
  <c r="G237" i="4"/>
  <c r="H237" i="4" s="1"/>
  <c r="G238" i="4"/>
  <c r="H238" i="4" s="1"/>
  <c r="G239" i="4"/>
  <c r="H239" i="4" s="1"/>
  <c r="G240" i="4"/>
  <c r="H240" i="4" s="1"/>
  <c r="G241" i="4"/>
  <c r="H241" i="4" s="1"/>
  <c r="G242" i="4"/>
  <c r="H242" i="4" s="1"/>
  <c r="G243" i="4"/>
  <c r="H243" i="4" s="1"/>
  <c r="G244" i="4"/>
  <c r="H244" i="4" s="1"/>
  <c r="G245" i="4"/>
  <c r="H245" i="4" s="1"/>
  <c r="G246" i="4"/>
  <c r="H246" i="4" s="1"/>
  <c r="G247" i="4"/>
  <c r="H247" i="4" s="1"/>
  <c r="G248" i="4"/>
  <c r="H248" i="4" s="1"/>
  <c r="G249" i="4"/>
  <c r="H249" i="4" s="1"/>
  <c r="G250" i="4"/>
  <c r="H250" i="4" s="1"/>
  <c r="G251" i="4"/>
  <c r="H251" i="4" s="1"/>
  <c r="G252" i="4"/>
  <c r="H252" i="4" s="1"/>
  <c r="G253" i="4"/>
  <c r="H253" i="4" s="1"/>
  <c r="G254" i="4"/>
  <c r="H254" i="4" s="1"/>
  <c r="G255" i="4"/>
  <c r="H255" i="4" s="1"/>
  <c r="G256" i="4"/>
  <c r="H256" i="4" s="1"/>
  <c r="G257" i="4"/>
  <c r="H257" i="4" s="1"/>
  <c r="G258" i="4"/>
  <c r="H258" i="4" s="1"/>
  <c r="G259" i="4"/>
  <c r="H259" i="4" s="1"/>
  <c r="G260" i="4"/>
  <c r="H260" i="4" s="1"/>
  <c r="G261" i="4"/>
  <c r="H261" i="4" s="1"/>
  <c r="G262" i="4"/>
  <c r="H262" i="4" s="1"/>
  <c r="G263" i="4"/>
  <c r="H263" i="4" s="1"/>
  <c r="G264" i="4"/>
  <c r="H264" i="4" s="1"/>
  <c r="G265" i="4"/>
  <c r="H265" i="4" s="1"/>
  <c r="G266" i="4"/>
  <c r="H266" i="4" s="1"/>
  <c r="G267" i="4"/>
  <c r="H267" i="4" s="1"/>
  <c r="G268" i="4"/>
  <c r="H268" i="4" s="1"/>
  <c r="G269" i="4"/>
  <c r="H269" i="4" s="1"/>
  <c r="G270" i="4"/>
  <c r="H270" i="4" s="1"/>
  <c r="G271" i="4"/>
  <c r="H271" i="4" s="1"/>
  <c r="G272" i="4"/>
  <c r="H272" i="4" s="1"/>
  <c r="G273" i="4"/>
  <c r="H273" i="4" s="1"/>
  <c r="G274" i="4"/>
  <c r="H274" i="4" s="1"/>
  <c r="G275" i="4"/>
  <c r="H275" i="4" s="1"/>
  <c r="G276" i="4"/>
  <c r="H276" i="4" s="1"/>
  <c r="G277" i="4"/>
  <c r="H277" i="4" s="1"/>
  <c r="G278" i="4"/>
  <c r="H278" i="4" s="1"/>
  <c r="G279" i="4"/>
  <c r="H279" i="4" s="1"/>
  <c r="G280" i="4"/>
  <c r="H280" i="4" s="1"/>
  <c r="G281" i="4"/>
  <c r="H281" i="4" s="1"/>
  <c r="G282" i="4"/>
  <c r="H282" i="4" s="1"/>
  <c r="G283" i="4"/>
  <c r="H283" i="4" s="1"/>
  <c r="G284" i="4"/>
  <c r="H284" i="4" s="1"/>
  <c r="G285" i="4"/>
  <c r="H285" i="4" s="1"/>
  <c r="G286" i="4"/>
  <c r="H286" i="4" s="1"/>
  <c r="G287" i="4"/>
  <c r="H287" i="4" s="1"/>
  <c r="G288" i="4"/>
  <c r="H288" i="4" s="1"/>
  <c r="G289" i="4"/>
  <c r="H289" i="4" s="1"/>
  <c r="G290" i="4"/>
  <c r="H290" i="4" s="1"/>
  <c r="G291" i="4"/>
  <c r="H291" i="4" s="1"/>
  <c r="G292" i="4"/>
  <c r="H292" i="4" s="1"/>
  <c r="G293" i="4"/>
  <c r="H293" i="4" s="1"/>
  <c r="G294" i="4"/>
  <c r="H294" i="4" s="1"/>
  <c r="G295" i="4"/>
  <c r="H295" i="4" s="1"/>
  <c r="G296" i="4"/>
  <c r="H296" i="4" s="1"/>
  <c r="G297" i="4"/>
  <c r="H297" i="4" s="1"/>
  <c r="G298" i="4"/>
  <c r="H298" i="4" s="1"/>
  <c r="G299" i="4"/>
  <c r="H299" i="4" s="1"/>
  <c r="G300" i="4"/>
  <c r="H300" i="4" s="1"/>
  <c r="G301" i="4"/>
  <c r="H301" i="4" s="1"/>
  <c r="G302" i="4"/>
  <c r="H302" i="4" s="1"/>
  <c r="G303" i="4"/>
  <c r="H303" i="4" s="1"/>
  <c r="G304" i="4"/>
  <c r="H304" i="4" s="1"/>
  <c r="G305" i="4"/>
  <c r="H305" i="4" s="1"/>
  <c r="G306" i="4"/>
  <c r="H306" i="4" s="1"/>
  <c r="G307" i="4"/>
  <c r="H307" i="4" s="1"/>
  <c r="G308" i="4"/>
  <c r="H308" i="4" s="1"/>
  <c r="G309" i="4"/>
  <c r="H309" i="4" s="1"/>
  <c r="G310" i="4"/>
  <c r="H310" i="4" s="1"/>
  <c r="G311" i="4"/>
  <c r="H311" i="4" s="1"/>
  <c r="G312" i="4"/>
  <c r="H312" i="4" s="1"/>
  <c r="G313" i="4"/>
  <c r="H313" i="4" s="1"/>
  <c r="G314" i="4"/>
  <c r="H314" i="4" s="1"/>
  <c r="G315" i="4"/>
  <c r="H315" i="4" s="1"/>
  <c r="G316" i="4"/>
  <c r="H316" i="4" s="1"/>
  <c r="G317" i="4"/>
  <c r="H317" i="4" s="1"/>
  <c r="G318" i="4"/>
  <c r="H318" i="4" s="1"/>
  <c r="G319" i="4"/>
  <c r="H319" i="4" s="1"/>
  <c r="G320" i="4"/>
  <c r="H320" i="4" s="1"/>
  <c r="G321" i="4"/>
  <c r="H321" i="4" s="1"/>
  <c r="G322" i="4"/>
  <c r="H322" i="4" s="1"/>
  <c r="G323" i="4"/>
  <c r="H323" i="4" s="1"/>
  <c r="G324" i="4"/>
  <c r="H324" i="4" s="1"/>
  <c r="G325" i="4"/>
  <c r="H325" i="4" s="1"/>
  <c r="G326" i="4"/>
  <c r="H326" i="4" s="1"/>
  <c r="G2" i="4"/>
  <c r="H2" i="4" s="1"/>
  <c r="E3" i="3"/>
  <c r="E4" i="3"/>
  <c r="E5" i="3"/>
  <c r="E6" i="3"/>
  <c r="E7" i="3"/>
  <c r="E8" i="3"/>
  <c r="E9" i="3"/>
  <c r="E10" i="3"/>
  <c r="E11" i="3"/>
  <c r="E12" i="3"/>
  <c r="E13" i="3"/>
  <c r="E14" i="3"/>
  <c r="E2" i="3"/>
  <c r="D3" i="3"/>
  <c r="D4" i="3"/>
  <c r="D5" i="3"/>
  <c r="D6" i="3"/>
  <c r="D7" i="3"/>
  <c r="D8" i="3"/>
  <c r="D9" i="3"/>
  <c r="D10" i="3"/>
  <c r="D11" i="3"/>
  <c r="D12" i="3"/>
  <c r="D13" i="3"/>
  <c r="D14" i="3"/>
  <c r="D2" i="3"/>
  <c r="C3" i="3"/>
  <c r="C4" i="3"/>
  <c r="C5" i="3"/>
  <c r="C6" i="3"/>
  <c r="C7" i="3"/>
  <c r="C8" i="3"/>
  <c r="C9" i="3"/>
  <c r="C10" i="3"/>
  <c r="C11" i="3"/>
  <c r="C12" i="3"/>
  <c r="C13" i="3"/>
  <c r="C14" i="3"/>
  <c r="C2" i="3"/>
  <c r="I93" i="4" l="1"/>
  <c r="J93" i="4" s="1"/>
  <c r="I94" i="4"/>
  <c r="J94" i="4" s="1"/>
  <c r="I91" i="4"/>
  <c r="I95" i="4"/>
  <c r="I92" i="4"/>
  <c r="I3" i="4"/>
  <c r="I7" i="4"/>
  <c r="I11" i="4"/>
  <c r="I15" i="4"/>
  <c r="I4" i="4"/>
  <c r="I5" i="4"/>
  <c r="I10" i="4"/>
  <c r="I16" i="4"/>
  <c r="I20" i="4"/>
  <c r="I24" i="4"/>
  <c r="I28" i="4"/>
  <c r="I32" i="4"/>
  <c r="I36" i="4"/>
  <c r="I40" i="4"/>
  <c r="I44" i="4"/>
  <c r="I48" i="4"/>
  <c r="I52" i="4"/>
  <c r="I56" i="4"/>
  <c r="I60" i="4"/>
  <c r="I64" i="4"/>
  <c r="I68" i="4"/>
  <c r="I72" i="4"/>
  <c r="I76" i="4"/>
  <c r="I80" i="4"/>
  <c r="I84" i="4"/>
  <c r="I88" i="4"/>
  <c r="I97" i="4"/>
  <c r="I101" i="4"/>
  <c r="I105" i="4"/>
  <c r="I109" i="4"/>
  <c r="I113" i="4"/>
  <c r="I117" i="4"/>
  <c r="I121" i="4"/>
  <c r="I125" i="4"/>
  <c r="I129" i="4"/>
  <c r="I133" i="4"/>
  <c r="I137" i="4"/>
  <c r="I141" i="4"/>
  <c r="I145" i="4"/>
  <c r="I149" i="4"/>
  <c r="I153" i="4"/>
  <c r="I157" i="4"/>
  <c r="I161" i="4"/>
  <c r="I165" i="4"/>
  <c r="I169" i="4"/>
  <c r="I173" i="4"/>
  <c r="I177" i="4"/>
  <c r="I181" i="4"/>
  <c r="I185" i="4"/>
  <c r="I189" i="4"/>
  <c r="I193" i="4"/>
  <c r="I197" i="4"/>
  <c r="I201" i="4"/>
  <c r="I205" i="4"/>
  <c r="I209" i="4"/>
  <c r="I213" i="4"/>
  <c r="I217" i="4"/>
  <c r="I221" i="4"/>
  <c r="I225" i="4"/>
  <c r="I229" i="4"/>
  <c r="I233" i="4"/>
  <c r="I237" i="4"/>
  <c r="I241" i="4"/>
  <c r="I245" i="4"/>
  <c r="I249" i="4"/>
  <c r="I253" i="4"/>
  <c r="I257" i="4"/>
  <c r="I261" i="4"/>
  <c r="I265" i="4"/>
  <c r="I269" i="4"/>
  <c r="I6" i="4"/>
  <c r="I12" i="4"/>
  <c r="I17" i="4"/>
  <c r="I21" i="4"/>
  <c r="I25" i="4"/>
  <c r="I29" i="4"/>
  <c r="I33" i="4"/>
  <c r="I37" i="4"/>
  <c r="I41" i="4"/>
  <c r="I45" i="4"/>
  <c r="I49" i="4"/>
  <c r="I53" i="4"/>
  <c r="I57" i="4"/>
  <c r="I61" i="4"/>
  <c r="I65" i="4"/>
  <c r="I69" i="4"/>
  <c r="I73" i="4"/>
  <c r="I77" i="4"/>
  <c r="I81" i="4"/>
  <c r="I85" i="4"/>
  <c r="I89" i="4"/>
  <c r="I98" i="4"/>
  <c r="I102" i="4"/>
  <c r="I106" i="4"/>
  <c r="I110" i="4"/>
  <c r="I114" i="4"/>
  <c r="I118" i="4"/>
  <c r="I122" i="4"/>
  <c r="I126" i="4"/>
  <c r="I130" i="4"/>
  <c r="I134" i="4"/>
  <c r="I138" i="4"/>
  <c r="I142" i="4"/>
  <c r="I146" i="4"/>
  <c r="I150" i="4"/>
  <c r="I154" i="4"/>
  <c r="I158" i="4"/>
  <c r="I162" i="4"/>
  <c r="I166" i="4"/>
  <c r="I170" i="4"/>
  <c r="I174" i="4"/>
  <c r="I178" i="4"/>
  <c r="I182" i="4"/>
  <c r="I186" i="4"/>
  <c r="I190" i="4"/>
  <c r="I194" i="4"/>
  <c r="I198" i="4"/>
  <c r="I202" i="4"/>
  <c r="I206" i="4"/>
  <c r="I210" i="4"/>
  <c r="I214" i="4"/>
  <c r="I218" i="4"/>
  <c r="I222" i="4"/>
  <c r="I226" i="4"/>
  <c r="I230" i="4"/>
  <c r="I234" i="4"/>
  <c r="I238" i="4"/>
  <c r="I242" i="4"/>
  <c r="I246" i="4"/>
  <c r="I250" i="4"/>
  <c r="I254" i="4"/>
  <c r="I258" i="4"/>
  <c r="I262" i="4"/>
  <c r="I266" i="4"/>
  <c r="I8" i="4"/>
  <c r="I13" i="4"/>
  <c r="I18" i="4"/>
  <c r="I22" i="4"/>
  <c r="I26" i="4"/>
  <c r="I30" i="4"/>
  <c r="I34" i="4"/>
  <c r="I38" i="4"/>
  <c r="I42" i="4"/>
  <c r="I46" i="4"/>
  <c r="I50" i="4"/>
  <c r="I54" i="4"/>
  <c r="I58" i="4"/>
  <c r="I62" i="4"/>
  <c r="I66" i="4"/>
  <c r="I70" i="4"/>
  <c r="I74" i="4"/>
  <c r="I78" i="4"/>
  <c r="I82" i="4"/>
  <c r="I86" i="4"/>
  <c r="I90" i="4"/>
  <c r="I99" i="4"/>
  <c r="I103" i="4"/>
  <c r="I107" i="4"/>
  <c r="I111" i="4"/>
  <c r="I115" i="4"/>
  <c r="I119" i="4"/>
  <c r="I123" i="4"/>
  <c r="I127" i="4"/>
  <c r="I131" i="4"/>
  <c r="I135" i="4"/>
  <c r="I139" i="4"/>
  <c r="I143" i="4"/>
  <c r="I147" i="4"/>
  <c r="I151" i="4"/>
  <c r="I155" i="4"/>
  <c r="I159" i="4"/>
  <c r="I163" i="4"/>
  <c r="I167" i="4"/>
  <c r="I171" i="4"/>
  <c r="I175" i="4"/>
  <c r="I179" i="4"/>
  <c r="I183" i="4"/>
  <c r="I187" i="4"/>
  <c r="I191" i="4"/>
  <c r="I195" i="4"/>
  <c r="I199" i="4"/>
  <c r="I203" i="4"/>
  <c r="I207" i="4"/>
  <c r="I211" i="4"/>
  <c r="I215" i="4"/>
  <c r="I219" i="4"/>
  <c r="I223" i="4"/>
  <c r="I227" i="4"/>
  <c r="I231" i="4"/>
  <c r="I235" i="4"/>
  <c r="I239" i="4"/>
  <c r="I243" i="4"/>
  <c r="I247" i="4"/>
  <c r="I251" i="4"/>
  <c r="I255" i="4"/>
  <c r="I9" i="4"/>
  <c r="I27" i="4"/>
  <c r="I43" i="4"/>
  <c r="I59" i="4"/>
  <c r="I75" i="4"/>
  <c r="I108" i="4"/>
  <c r="I124" i="4"/>
  <c r="I140" i="4"/>
  <c r="I156" i="4"/>
  <c r="I172" i="4"/>
  <c r="I188" i="4"/>
  <c r="I204" i="4"/>
  <c r="I220" i="4"/>
  <c r="I236" i="4"/>
  <c r="I252" i="4"/>
  <c r="I263" i="4"/>
  <c r="I270" i="4"/>
  <c r="I274" i="4"/>
  <c r="I278" i="4"/>
  <c r="I282" i="4"/>
  <c r="I286" i="4"/>
  <c r="I290" i="4"/>
  <c r="I294" i="4"/>
  <c r="I298" i="4"/>
  <c r="I302" i="4"/>
  <c r="I306" i="4"/>
  <c r="I310" i="4"/>
  <c r="I314" i="4"/>
  <c r="I318" i="4"/>
  <c r="I322" i="4"/>
  <c r="I326" i="4"/>
  <c r="I14" i="4"/>
  <c r="I31" i="4"/>
  <c r="I47" i="4"/>
  <c r="I63" i="4"/>
  <c r="I79" i="4"/>
  <c r="I96" i="4"/>
  <c r="I112" i="4"/>
  <c r="I128" i="4"/>
  <c r="I144" i="4"/>
  <c r="I160" i="4"/>
  <c r="I176" i="4"/>
  <c r="I192" i="4"/>
  <c r="I208" i="4"/>
  <c r="I224" i="4"/>
  <c r="I240" i="4"/>
  <c r="I256" i="4"/>
  <c r="I264" i="4"/>
  <c r="I271" i="4"/>
  <c r="I275" i="4"/>
  <c r="I279" i="4"/>
  <c r="I283" i="4"/>
  <c r="I287" i="4"/>
  <c r="I291" i="4"/>
  <c r="I295" i="4"/>
  <c r="I299" i="4"/>
  <c r="I303" i="4"/>
  <c r="I307" i="4"/>
  <c r="I311" i="4"/>
  <c r="I315" i="4"/>
  <c r="I319" i="4"/>
  <c r="I323" i="4"/>
  <c r="I2" i="4"/>
  <c r="I19" i="4"/>
  <c r="I35" i="4"/>
  <c r="I51" i="4"/>
  <c r="I67" i="4"/>
  <c r="I83" i="4"/>
  <c r="I100" i="4"/>
  <c r="I116" i="4"/>
  <c r="I132" i="4"/>
  <c r="I148" i="4"/>
  <c r="I164" i="4"/>
  <c r="I180" i="4"/>
  <c r="I196" i="4"/>
  <c r="I212" i="4"/>
  <c r="I228" i="4"/>
  <c r="I244" i="4"/>
  <c r="I259" i="4"/>
  <c r="I267" i="4"/>
  <c r="I272" i="4"/>
  <c r="I276" i="4"/>
  <c r="I280" i="4"/>
  <c r="I284" i="4"/>
  <c r="I288" i="4"/>
  <c r="I292" i="4"/>
  <c r="I296" i="4"/>
  <c r="I300" i="4"/>
  <c r="I304" i="4"/>
  <c r="I308" i="4"/>
  <c r="I312" i="4"/>
  <c r="I316" i="4"/>
  <c r="I320" i="4"/>
  <c r="I324" i="4"/>
  <c r="I55" i="4"/>
  <c r="I321" i="4"/>
  <c r="I305" i="4"/>
  <c r="I289" i="4"/>
  <c r="I273" i="4"/>
  <c r="I232" i="4"/>
  <c r="I168" i="4"/>
  <c r="I104" i="4"/>
  <c r="I39" i="4"/>
  <c r="I325" i="4"/>
  <c r="I309" i="4"/>
  <c r="I293" i="4"/>
  <c r="I277" i="4"/>
  <c r="I248" i="4"/>
  <c r="I184" i="4"/>
  <c r="I120" i="4"/>
  <c r="I317" i="4"/>
  <c r="I301" i="4"/>
  <c r="I285" i="4"/>
  <c r="I268" i="4"/>
  <c r="I216" i="4"/>
  <c r="I152" i="4"/>
  <c r="I87" i="4"/>
  <c r="I23" i="4"/>
  <c r="I313" i="4"/>
  <c r="I297" i="4"/>
  <c r="I281" i="4"/>
  <c r="I260" i="4"/>
  <c r="I200" i="4"/>
  <c r="I136" i="4"/>
  <c r="I71" i="4"/>
  <c r="E15" i="3"/>
  <c r="C15" i="3"/>
  <c r="C9" i="6" s="1"/>
  <c r="D15" i="3"/>
  <c r="K94" i="4" l="1"/>
  <c r="M94" i="4" s="1"/>
  <c r="K93" i="4"/>
  <c r="M93" i="4" s="1"/>
  <c r="K200" i="4"/>
  <c r="M200" i="4" s="1"/>
  <c r="J200" i="4"/>
  <c r="K317" i="4"/>
  <c r="M317" i="4" s="1"/>
  <c r="J317" i="4"/>
  <c r="K39" i="4"/>
  <c r="J39" i="4"/>
  <c r="K312" i="4"/>
  <c r="M312" i="4" s="1"/>
  <c r="J312" i="4"/>
  <c r="K259" i="4"/>
  <c r="M259" i="4" s="1"/>
  <c r="J259" i="4"/>
  <c r="K67" i="4"/>
  <c r="M67" i="4" s="1"/>
  <c r="J67" i="4"/>
  <c r="K295" i="4"/>
  <c r="M295" i="4" s="1"/>
  <c r="J295" i="4"/>
  <c r="K192" i="4"/>
  <c r="M192" i="4" s="1"/>
  <c r="J192" i="4"/>
  <c r="K326" i="4"/>
  <c r="M326" i="4" s="1"/>
  <c r="J326" i="4"/>
  <c r="K278" i="4"/>
  <c r="M278" i="4" s="1"/>
  <c r="J278" i="4"/>
  <c r="K124" i="4"/>
  <c r="M124" i="4" s="1"/>
  <c r="J124" i="4"/>
  <c r="K235" i="4"/>
  <c r="M235" i="4" s="1"/>
  <c r="J235" i="4"/>
  <c r="K187" i="4"/>
  <c r="J187" i="4"/>
  <c r="K139" i="4"/>
  <c r="M139" i="4" s="1"/>
  <c r="J139" i="4"/>
  <c r="K86" i="4"/>
  <c r="M86" i="4" s="1"/>
  <c r="J86" i="4"/>
  <c r="K38" i="4"/>
  <c r="M38" i="4" s="1"/>
  <c r="J38" i="4"/>
  <c r="K250" i="4"/>
  <c r="M250" i="4" s="1"/>
  <c r="J250" i="4"/>
  <c r="K202" i="4"/>
  <c r="M202" i="4" s="1"/>
  <c r="J202" i="4"/>
  <c r="K170" i="4"/>
  <c r="M170" i="4" s="1"/>
  <c r="J170" i="4"/>
  <c r="K122" i="4"/>
  <c r="M122" i="4" s="1"/>
  <c r="J122" i="4"/>
  <c r="K73" i="4"/>
  <c r="J73" i="4"/>
  <c r="K41" i="4"/>
  <c r="M41" i="4" s="1"/>
  <c r="J41" i="4"/>
  <c r="K257" i="4"/>
  <c r="J257" i="4"/>
  <c r="K209" i="4"/>
  <c r="M209" i="4" s="1"/>
  <c r="J209" i="4"/>
  <c r="K145" i="4"/>
  <c r="M145" i="4" s="1"/>
  <c r="J145" i="4"/>
  <c r="K97" i="4"/>
  <c r="M97" i="4" s="1"/>
  <c r="J97" i="4"/>
  <c r="K60" i="4"/>
  <c r="J60" i="4"/>
  <c r="K10" i="4"/>
  <c r="M10" i="4" s="1"/>
  <c r="J10" i="4"/>
  <c r="K11" i="4"/>
  <c r="M11" i="4" s="1"/>
  <c r="J11" i="4"/>
  <c r="K95" i="4"/>
  <c r="M95" i="4" s="1"/>
  <c r="J95" i="4"/>
  <c r="K260" i="4"/>
  <c r="M260" i="4" s="1"/>
  <c r="J260" i="4"/>
  <c r="K23" i="4"/>
  <c r="M23" i="4" s="1"/>
  <c r="J23" i="4"/>
  <c r="K268" i="4"/>
  <c r="M268" i="4" s="1"/>
  <c r="J268" i="4"/>
  <c r="K120" i="4"/>
  <c r="M120" i="4" s="1"/>
  <c r="J120" i="4"/>
  <c r="K293" i="4"/>
  <c r="M293" i="4" s="1"/>
  <c r="J293" i="4"/>
  <c r="K104" i="4"/>
  <c r="M104" i="4" s="1"/>
  <c r="J104" i="4"/>
  <c r="K289" i="4"/>
  <c r="M289" i="4" s="1"/>
  <c r="J289" i="4"/>
  <c r="K324" i="4"/>
  <c r="M324" i="4" s="1"/>
  <c r="J324" i="4"/>
  <c r="K308" i="4"/>
  <c r="M308" i="4" s="1"/>
  <c r="J308" i="4"/>
  <c r="K292" i="4"/>
  <c r="M292" i="4" s="1"/>
  <c r="J292" i="4"/>
  <c r="K276" i="4"/>
  <c r="M276" i="4" s="1"/>
  <c r="J276" i="4"/>
  <c r="K244" i="4"/>
  <c r="M244" i="4" s="1"/>
  <c r="J244" i="4"/>
  <c r="K180" i="4"/>
  <c r="M180" i="4" s="1"/>
  <c r="J180" i="4"/>
  <c r="K116" i="4"/>
  <c r="M116" i="4" s="1"/>
  <c r="J116" i="4"/>
  <c r="K51" i="4"/>
  <c r="J51" i="4"/>
  <c r="K323" i="4"/>
  <c r="M323" i="4" s="1"/>
  <c r="J323" i="4"/>
  <c r="K307" i="4"/>
  <c r="M307" i="4" s="1"/>
  <c r="J307" i="4"/>
  <c r="K291" i="4"/>
  <c r="M291" i="4" s="1"/>
  <c r="J291" i="4"/>
  <c r="K275" i="4"/>
  <c r="M275" i="4" s="1"/>
  <c r="J275" i="4"/>
  <c r="K240" i="4"/>
  <c r="M240" i="4" s="1"/>
  <c r="J240" i="4"/>
  <c r="K176" i="4"/>
  <c r="J176" i="4"/>
  <c r="K112" i="4"/>
  <c r="M112" i="4" s="1"/>
  <c r="J112" i="4"/>
  <c r="K47" i="4"/>
  <c r="J47" i="4"/>
  <c r="K322" i="4"/>
  <c r="M322" i="4" s="1"/>
  <c r="J322" i="4"/>
  <c r="K306" i="4"/>
  <c r="M306" i="4" s="1"/>
  <c r="J306" i="4"/>
  <c r="K290" i="4"/>
  <c r="M290" i="4" s="1"/>
  <c r="J290" i="4"/>
  <c r="K274" i="4"/>
  <c r="M274" i="4" s="1"/>
  <c r="J274" i="4"/>
  <c r="K236" i="4"/>
  <c r="M236" i="4" s="1"/>
  <c r="J236" i="4"/>
  <c r="K172" i="4"/>
  <c r="J172" i="4"/>
  <c r="K108" i="4"/>
  <c r="M108" i="4" s="1"/>
  <c r="J108" i="4"/>
  <c r="K27" i="4"/>
  <c r="J27" i="4"/>
  <c r="K247" i="4"/>
  <c r="M247" i="4" s="1"/>
  <c r="J247" i="4"/>
  <c r="K231" i="4"/>
  <c r="J231" i="4"/>
  <c r="K215" i="4"/>
  <c r="M215" i="4" s="1"/>
  <c r="J215" i="4"/>
  <c r="K199" i="4"/>
  <c r="J199" i="4"/>
  <c r="K183" i="4"/>
  <c r="M183" i="4" s="1"/>
  <c r="J183" i="4"/>
  <c r="K167" i="4"/>
  <c r="M167" i="4" s="1"/>
  <c r="J167" i="4"/>
  <c r="K151" i="4"/>
  <c r="M151" i="4" s="1"/>
  <c r="J151" i="4"/>
  <c r="K135" i="4"/>
  <c r="J135" i="4"/>
  <c r="K119" i="4"/>
  <c r="M119" i="4" s="1"/>
  <c r="J119" i="4"/>
  <c r="K103" i="4"/>
  <c r="M103" i="4" s="1"/>
  <c r="J103" i="4"/>
  <c r="K82" i="4"/>
  <c r="M82" i="4" s="1"/>
  <c r="J82" i="4"/>
  <c r="K66" i="4"/>
  <c r="J66" i="4"/>
  <c r="K50" i="4"/>
  <c r="M50" i="4" s="1"/>
  <c r="J50" i="4"/>
  <c r="K34" i="4"/>
  <c r="J34" i="4"/>
  <c r="K18" i="4"/>
  <c r="M18" i="4" s="1"/>
  <c r="J18" i="4"/>
  <c r="K262" i="4"/>
  <c r="M262" i="4" s="1"/>
  <c r="J262" i="4"/>
  <c r="K246" i="4"/>
  <c r="M246" i="4" s="1"/>
  <c r="J246" i="4"/>
  <c r="K230" i="4"/>
  <c r="J230" i="4"/>
  <c r="K214" i="4"/>
  <c r="M214" i="4" s="1"/>
  <c r="J214" i="4"/>
  <c r="K198" i="4"/>
  <c r="J198" i="4"/>
  <c r="K182" i="4"/>
  <c r="M182" i="4" s="1"/>
  <c r="J182" i="4"/>
  <c r="K166" i="4"/>
  <c r="J166" i="4"/>
  <c r="K150" i="4"/>
  <c r="M150" i="4" s="1"/>
  <c r="J150" i="4"/>
  <c r="K134" i="4"/>
  <c r="M134" i="4" s="1"/>
  <c r="J134" i="4"/>
  <c r="K118" i="4"/>
  <c r="M118" i="4" s="1"/>
  <c r="J118" i="4"/>
  <c r="K102" i="4"/>
  <c r="J102" i="4"/>
  <c r="K85" i="4"/>
  <c r="M85" i="4" s="1"/>
  <c r="J85" i="4"/>
  <c r="K69" i="4"/>
  <c r="J69" i="4"/>
  <c r="K53" i="4"/>
  <c r="M53" i="4" s="1"/>
  <c r="J53" i="4"/>
  <c r="K37" i="4"/>
  <c r="J37" i="4"/>
  <c r="K21" i="4"/>
  <c r="M21" i="4" s="1"/>
  <c r="J21" i="4"/>
  <c r="K269" i="4"/>
  <c r="M269" i="4" s="1"/>
  <c r="J269" i="4"/>
  <c r="K253" i="4"/>
  <c r="M253" i="4" s="1"/>
  <c r="J253" i="4"/>
  <c r="K237" i="4"/>
  <c r="M237" i="4" s="1"/>
  <c r="J237" i="4"/>
  <c r="K221" i="4"/>
  <c r="M221" i="4" s="1"/>
  <c r="J221" i="4"/>
  <c r="K205" i="4"/>
  <c r="M205" i="4" s="1"/>
  <c r="J205" i="4"/>
  <c r="K189" i="4"/>
  <c r="M189" i="4" s="1"/>
  <c r="J189" i="4"/>
  <c r="K173" i="4"/>
  <c r="J173" i="4"/>
  <c r="K157" i="4"/>
  <c r="M157" i="4" s="1"/>
  <c r="J157" i="4"/>
  <c r="K141" i="4"/>
  <c r="M141" i="4" s="1"/>
  <c r="J141" i="4"/>
  <c r="K125" i="4"/>
  <c r="M125" i="4" s="1"/>
  <c r="J125" i="4"/>
  <c r="K109" i="4"/>
  <c r="J109" i="4"/>
  <c r="K88" i="4"/>
  <c r="M88" i="4" s="1"/>
  <c r="J88" i="4"/>
  <c r="K72" i="4"/>
  <c r="J72" i="4"/>
  <c r="K56" i="4"/>
  <c r="M56" i="4" s="1"/>
  <c r="J56" i="4"/>
  <c r="K40" i="4"/>
  <c r="J40" i="4"/>
  <c r="K24" i="4"/>
  <c r="M24" i="4" s="1"/>
  <c r="J24" i="4"/>
  <c r="K5" i="4"/>
  <c r="M5" i="4" s="1"/>
  <c r="J5" i="4"/>
  <c r="K7" i="4"/>
  <c r="M7" i="4" s="1"/>
  <c r="J7" i="4"/>
  <c r="K91" i="4"/>
  <c r="J91" i="4"/>
  <c r="K216" i="4"/>
  <c r="M216" i="4" s="1"/>
  <c r="J216" i="4"/>
  <c r="K273" i="4"/>
  <c r="J273" i="4"/>
  <c r="K296" i="4"/>
  <c r="M296" i="4" s="1"/>
  <c r="J296" i="4"/>
  <c r="K196" i="4"/>
  <c r="M196" i="4" s="1"/>
  <c r="J196" i="4"/>
  <c r="K2" i="4"/>
  <c r="M2" i="4" s="1"/>
  <c r="J2" i="4"/>
  <c r="K279" i="4"/>
  <c r="M279" i="4" s="1"/>
  <c r="J279" i="4"/>
  <c r="K128" i="4"/>
  <c r="M128" i="4" s="1"/>
  <c r="J128" i="4"/>
  <c r="K294" i="4"/>
  <c r="M294" i="4" s="1"/>
  <c r="J294" i="4"/>
  <c r="K188" i="4"/>
  <c r="M188" i="4" s="1"/>
  <c r="J188" i="4"/>
  <c r="K251" i="4"/>
  <c r="M251" i="4" s="1"/>
  <c r="J251" i="4"/>
  <c r="K203" i="4"/>
  <c r="M203" i="4" s="1"/>
  <c r="J203" i="4"/>
  <c r="K155" i="4"/>
  <c r="M155" i="4" s="1"/>
  <c r="J155" i="4"/>
  <c r="K107" i="4"/>
  <c r="M107" i="4" s="1"/>
  <c r="J107" i="4"/>
  <c r="K54" i="4"/>
  <c r="J54" i="4"/>
  <c r="K266" i="4"/>
  <c r="M266" i="4" s="1"/>
  <c r="J266" i="4"/>
  <c r="K218" i="4"/>
  <c r="J218" i="4"/>
  <c r="K154" i="4"/>
  <c r="M154" i="4" s="1"/>
  <c r="J154" i="4"/>
  <c r="K106" i="4"/>
  <c r="J106" i="4"/>
  <c r="K57" i="4"/>
  <c r="M57" i="4" s="1"/>
  <c r="J57" i="4"/>
  <c r="K25" i="4"/>
  <c r="J25" i="4"/>
  <c r="K241" i="4"/>
  <c r="M241" i="4" s="1"/>
  <c r="J241" i="4"/>
  <c r="K193" i="4"/>
  <c r="J193" i="4"/>
  <c r="K161" i="4"/>
  <c r="M161" i="4" s="1"/>
  <c r="J161" i="4"/>
  <c r="K113" i="4"/>
  <c r="J113" i="4"/>
  <c r="K44" i="4"/>
  <c r="M44" i="4" s="1"/>
  <c r="J44" i="4"/>
  <c r="K71" i="4"/>
  <c r="J71" i="4"/>
  <c r="K87" i="4"/>
  <c r="M87" i="4" s="1"/>
  <c r="J87" i="4"/>
  <c r="K184" i="4"/>
  <c r="J184" i="4"/>
  <c r="K309" i="4"/>
  <c r="M309" i="4" s="1"/>
  <c r="J309" i="4"/>
  <c r="K168" i="4"/>
  <c r="M168" i="4" s="1"/>
  <c r="J168" i="4"/>
  <c r="K305" i="4"/>
  <c r="M305" i="4" s="1"/>
  <c r="J305" i="4"/>
  <c r="K320" i="4"/>
  <c r="M320" i="4" s="1"/>
  <c r="J320" i="4"/>
  <c r="K304" i="4"/>
  <c r="M304" i="4" s="1"/>
  <c r="J304" i="4"/>
  <c r="K288" i="4"/>
  <c r="M288" i="4" s="1"/>
  <c r="J288" i="4"/>
  <c r="K272" i="4"/>
  <c r="M272" i="4" s="1"/>
  <c r="J272" i="4"/>
  <c r="K228" i="4"/>
  <c r="J228" i="4"/>
  <c r="K164" i="4"/>
  <c r="M164" i="4" s="1"/>
  <c r="J164" i="4"/>
  <c r="K100" i="4"/>
  <c r="M100" i="4" s="1"/>
  <c r="J100" i="4"/>
  <c r="K35" i="4"/>
  <c r="M35" i="4" s="1"/>
  <c r="J35" i="4"/>
  <c r="K319" i="4"/>
  <c r="M319" i="4" s="1"/>
  <c r="J319" i="4"/>
  <c r="K303" i="4"/>
  <c r="M303" i="4" s="1"/>
  <c r="J303" i="4"/>
  <c r="K287" i="4"/>
  <c r="M287" i="4" s="1"/>
  <c r="J287" i="4"/>
  <c r="K271" i="4"/>
  <c r="M271" i="4" s="1"/>
  <c r="J271" i="4"/>
  <c r="K224" i="4"/>
  <c r="J224" i="4"/>
  <c r="K160" i="4"/>
  <c r="M160" i="4" s="1"/>
  <c r="J160" i="4"/>
  <c r="K96" i="4"/>
  <c r="M96" i="4" s="1"/>
  <c r="J96" i="4"/>
  <c r="K31" i="4"/>
  <c r="M31" i="4" s="1"/>
  <c r="J31" i="4"/>
  <c r="K318" i="4"/>
  <c r="M318" i="4" s="1"/>
  <c r="J318" i="4"/>
  <c r="K302" i="4"/>
  <c r="M302" i="4" s="1"/>
  <c r="J302" i="4"/>
  <c r="K286" i="4"/>
  <c r="M286" i="4" s="1"/>
  <c r="J286" i="4"/>
  <c r="K270" i="4"/>
  <c r="M270" i="4" s="1"/>
  <c r="J270" i="4"/>
  <c r="K220" i="4"/>
  <c r="M220" i="4" s="1"/>
  <c r="J220" i="4"/>
  <c r="K156" i="4"/>
  <c r="M156" i="4" s="1"/>
  <c r="J156" i="4"/>
  <c r="K75" i="4"/>
  <c r="J75" i="4"/>
  <c r="K9" i="4"/>
  <c r="M9" i="4" s="1"/>
  <c r="J9" i="4"/>
  <c r="K243" i="4"/>
  <c r="J243" i="4"/>
  <c r="K227" i="4"/>
  <c r="M227" i="4" s="1"/>
  <c r="J227" i="4"/>
  <c r="K211" i="4"/>
  <c r="M211" i="4" s="1"/>
  <c r="J211" i="4"/>
  <c r="K195" i="4"/>
  <c r="M195" i="4" s="1"/>
  <c r="J195" i="4"/>
  <c r="K179" i="4"/>
  <c r="J179" i="4"/>
  <c r="K163" i="4"/>
  <c r="M163" i="4" s="1"/>
  <c r="J163" i="4"/>
  <c r="K147" i="4"/>
  <c r="J147" i="4"/>
  <c r="K131" i="4"/>
  <c r="M131" i="4" s="1"/>
  <c r="J131" i="4"/>
  <c r="K115" i="4"/>
  <c r="J115" i="4"/>
  <c r="K99" i="4"/>
  <c r="M99" i="4" s="1"/>
  <c r="J99" i="4"/>
  <c r="K78" i="4"/>
  <c r="J78" i="4"/>
  <c r="K62" i="4"/>
  <c r="M62" i="4" s="1"/>
  <c r="J62" i="4"/>
  <c r="K46" i="4"/>
  <c r="J46" i="4"/>
  <c r="K30" i="4"/>
  <c r="M30" i="4" s="1"/>
  <c r="J30" i="4"/>
  <c r="K13" i="4"/>
  <c r="J13" i="4"/>
  <c r="K258" i="4"/>
  <c r="M258" i="4" s="1"/>
  <c r="J258" i="4"/>
  <c r="K242" i="4"/>
  <c r="M242" i="4" s="1"/>
  <c r="J242" i="4"/>
  <c r="K226" i="4"/>
  <c r="M226" i="4" s="1"/>
  <c r="J226" i="4"/>
  <c r="K210" i="4"/>
  <c r="J210" i="4"/>
  <c r="K194" i="4"/>
  <c r="M194" i="4" s="1"/>
  <c r="J194" i="4"/>
  <c r="K178" i="4"/>
  <c r="M178" i="4" s="1"/>
  <c r="J178" i="4"/>
  <c r="K162" i="4"/>
  <c r="M162" i="4" s="1"/>
  <c r="J162" i="4"/>
  <c r="K146" i="4"/>
  <c r="M146" i="4" s="1"/>
  <c r="J146" i="4"/>
  <c r="K130" i="4"/>
  <c r="M130" i="4" s="1"/>
  <c r="J130" i="4"/>
  <c r="K114" i="4"/>
  <c r="J114" i="4"/>
  <c r="K98" i="4"/>
  <c r="M98" i="4" s="1"/>
  <c r="J98" i="4"/>
  <c r="K81" i="4"/>
  <c r="M81" i="4" s="1"/>
  <c r="J81" i="4"/>
  <c r="K65" i="4"/>
  <c r="M65" i="4" s="1"/>
  <c r="J65" i="4"/>
  <c r="K49" i="4"/>
  <c r="J49" i="4"/>
  <c r="K33" i="4"/>
  <c r="M33" i="4" s="1"/>
  <c r="J33" i="4"/>
  <c r="K17" i="4"/>
  <c r="J17" i="4"/>
  <c r="K265" i="4"/>
  <c r="M265" i="4" s="1"/>
  <c r="J265" i="4"/>
  <c r="K249" i="4"/>
  <c r="J249" i="4"/>
  <c r="K233" i="4"/>
  <c r="M233" i="4" s="1"/>
  <c r="J233" i="4"/>
  <c r="K217" i="4"/>
  <c r="J217" i="4"/>
  <c r="K201" i="4"/>
  <c r="M201" i="4" s="1"/>
  <c r="J201" i="4"/>
  <c r="K185" i="4"/>
  <c r="J185" i="4"/>
  <c r="K169" i="4"/>
  <c r="M169" i="4" s="1"/>
  <c r="J169" i="4"/>
  <c r="K153" i="4"/>
  <c r="M153" i="4" s="1"/>
  <c r="J153" i="4"/>
  <c r="K137" i="4"/>
  <c r="M137" i="4" s="1"/>
  <c r="J137" i="4"/>
  <c r="K121" i="4"/>
  <c r="J121" i="4"/>
  <c r="K105" i="4"/>
  <c r="M105" i="4" s="1"/>
  <c r="J105" i="4"/>
  <c r="K84" i="4"/>
  <c r="J84" i="4"/>
  <c r="K68" i="4"/>
  <c r="M68" i="4" s="1"/>
  <c r="J68" i="4"/>
  <c r="K52" i="4"/>
  <c r="J52" i="4"/>
  <c r="K36" i="4"/>
  <c r="M36" i="4" s="1"/>
  <c r="J36" i="4"/>
  <c r="K20" i="4"/>
  <c r="M20" i="4" s="1"/>
  <c r="J20" i="4"/>
  <c r="K4" i="4"/>
  <c r="M4" i="4" s="1"/>
  <c r="J4" i="4"/>
  <c r="K3" i="4"/>
  <c r="J3" i="4"/>
  <c r="K313" i="4"/>
  <c r="M313" i="4" s="1"/>
  <c r="J313" i="4"/>
  <c r="K277" i="4"/>
  <c r="M277" i="4" s="1"/>
  <c r="J277" i="4"/>
  <c r="K55" i="4"/>
  <c r="M55" i="4" s="1"/>
  <c r="J55" i="4"/>
  <c r="K280" i="4"/>
  <c r="M280" i="4" s="1"/>
  <c r="J280" i="4"/>
  <c r="K132" i="4"/>
  <c r="M132" i="4" s="1"/>
  <c r="J132" i="4"/>
  <c r="K311" i="4"/>
  <c r="M311" i="4" s="1"/>
  <c r="J311" i="4"/>
  <c r="K256" i="4"/>
  <c r="M256" i="4" s="1"/>
  <c r="J256" i="4"/>
  <c r="K63" i="4"/>
  <c r="J63" i="4"/>
  <c r="K310" i="4"/>
  <c r="M310" i="4" s="1"/>
  <c r="J310" i="4"/>
  <c r="K252" i="4"/>
  <c r="J252" i="4"/>
  <c r="K43" i="4"/>
  <c r="M43" i="4" s="1"/>
  <c r="J43" i="4"/>
  <c r="K219" i="4"/>
  <c r="J219" i="4"/>
  <c r="K171" i="4"/>
  <c r="M171" i="4" s="1"/>
  <c r="J171" i="4"/>
  <c r="K123" i="4"/>
  <c r="M123" i="4" s="1"/>
  <c r="J123" i="4"/>
  <c r="K70" i="4"/>
  <c r="M70" i="4" s="1"/>
  <c r="J70" i="4"/>
  <c r="K22" i="4"/>
  <c r="M22" i="4" s="1"/>
  <c r="J22" i="4"/>
  <c r="K234" i="4"/>
  <c r="M234" i="4" s="1"/>
  <c r="J234" i="4"/>
  <c r="K186" i="4"/>
  <c r="J186" i="4"/>
  <c r="K138" i="4"/>
  <c r="M138" i="4" s="1"/>
  <c r="J138" i="4"/>
  <c r="K89" i="4"/>
  <c r="M89" i="4" s="1"/>
  <c r="J89" i="4"/>
  <c r="K6" i="4"/>
  <c r="M6" i="4" s="1"/>
  <c r="J6" i="4"/>
  <c r="K225" i="4"/>
  <c r="M225" i="4" s="1"/>
  <c r="J225" i="4"/>
  <c r="K177" i="4"/>
  <c r="M177" i="4" s="1"/>
  <c r="J177" i="4"/>
  <c r="K129" i="4"/>
  <c r="J129" i="4"/>
  <c r="K76" i="4"/>
  <c r="M76" i="4" s="1"/>
  <c r="J76" i="4"/>
  <c r="K28" i="4"/>
  <c r="M28" i="4" s="1"/>
  <c r="J28" i="4"/>
  <c r="K281" i="4"/>
  <c r="M281" i="4" s="1"/>
  <c r="J281" i="4"/>
  <c r="K285" i="4"/>
  <c r="M285" i="4" s="1"/>
  <c r="J285" i="4"/>
  <c r="K136" i="4"/>
  <c r="M136" i="4" s="1"/>
  <c r="J136" i="4"/>
  <c r="K297" i="4"/>
  <c r="M297" i="4" s="1"/>
  <c r="J297" i="4"/>
  <c r="K152" i="4"/>
  <c r="M152" i="4" s="1"/>
  <c r="J152" i="4"/>
  <c r="K301" i="4"/>
  <c r="M301" i="4" s="1"/>
  <c r="J301" i="4"/>
  <c r="K248" i="4"/>
  <c r="M248" i="4" s="1"/>
  <c r="J248" i="4"/>
  <c r="K325" i="4"/>
  <c r="M325" i="4" s="1"/>
  <c r="J325" i="4"/>
  <c r="K232" i="4"/>
  <c r="M232" i="4" s="1"/>
  <c r="J232" i="4"/>
  <c r="K321" i="4"/>
  <c r="M321" i="4" s="1"/>
  <c r="J321" i="4"/>
  <c r="K316" i="4"/>
  <c r="M316" i="4" s="1"/>
  <c r="J316" i="4"/>
  <c r="K300" i="4"/>
  <c r="M300" i="4" s="1"/>
  <c r="J300" i="4"/>
  <c r="K284" i="4"/>
  <c r="M284" i="4" s="1"/>
  <c r="J284" i="4"/>
  <c r="K267" i="4"/>
  <c r="M267" i="4" s="1"/>
  <c r="J267" i="4"/>
  <c r="K212" i="4"/>
  <c r="M212" i="4" s="1"/>
  <c r="J212" i="4"/>
  <c r="K148" i="4"/>
  <c r="M148" i="4" s="1"/>
  <c r="J148" i="4"/>
  <c r="K83" i="4"/>
  <c r="M83" i="4" s="1"/>
  <c r="J83" i="4"/>
  <c r="K19" i="4"/>
  <c r="M19" i="4" s="1"/>
  <c r="J19" i="4"/>
  <c r="K315" i="4"/>
  <c r="M315" i="4" s="1"/>
  <c r="J315" i="4"/>
  <c r="K299" i="4"/>
  <c r="M299" i="4" s="1"/>
  <c r="J299" i="4"/>
  <c r="K283" i="4"/>
  <c r="M283" i="4" s="1"/>
  <c r="J283" i="4"/>
  <c r="K264" i="4"/>
  <c r="M264" i="4" s="1"/>
  <c r="J264" i="4"/>
  <c r="K208" i="4"/>
  <c r="M208" i="4" s="1"/>
  <c r="J208" i="4"/>
  <c r="K144" i="4"/>
  <c r="M144" i="4" s="1"/>
  <c r="J144" i="4"/>
  <c r="K79" i="4"/>
  <c r="M79" i="4" s="1"/>
  <c r="J79" i="4"/>
  <c r="K14" i="4"/>
  <c r="M14" i="4" s="1"/>
  <c r="J14" i="4"/>
  <c r="K314" i="4"/>
  <c r="M314" i="4" s="1"/>
  <c r="J314" i="4"/>
  <c r="K298" i="4"/>
  <c r="M298" i="4" s="1"/>
  <c r="J298" i="4"/>
  <c r="K282" i="4"/>
  <c r="M282" i="4" s="1"/>
  <c r="J282" i="4"/>
  <c r="K263" i="4"/>
  <c r="M263" i="4" s="1"/>
  <c r="J263" i="4"/>
  <c r="K204" i="4"/>
  <c r="M204" i="4" s="1"/>
  <c r="J204" i="4"/>
  <c r="K140" i="4"/>
  <c r="M140" i="4" s="1"/>
  <c r="J140" i="4"/>
  <c r="K59" i="4"/>
  <c r="M59" i="4" s="1"/>
  <c r="J59" i="4"/>
  <c r="K255" i="4"/>
  <c r="J255" i="4"/>
  <c r="K239" i="4"/>
  <c r="M239" i="4" s="1"/>
  <c r="J239" i="4"/>
  <c r="K223" i="4"/>
  <c r="J223" i="4"/>
  <c r="K207" i="4"/>
  <c r="M207" i="4" s="1"/>
  <c r="J207" i="4"/>
  <c r="K191" i="4"/>
  <c r="J191" i="4"/>
  <c r="K175" i="4"/>
  <c r="M175" i="4" s="1"/>
  <c r="J175" i="4"/>
  <c r="K159" i="4"/>
  <c r="M159" i="4" s="1"/>
  <c r="J159" i="4"/>
  <c r="K143" i="4"/>
  <c r="M143" i="4" s="1"/>
  <c r="J143" i="4"/>
  <c r="K127" i="4"/>
  <c r="J127" i="4"/>
  <c r="K111" i="4"/>
  <c r="M111" i="4" s="1"/>
  <c r="J111" i="4"/>
  <c r="K90" i="4"/>
  <c r="J90" i="4"/>
  <c r="K74" i="4"/>
  <c r="M74" i="4" s="1"/>
  <c r="J74" i="4"/>
  <c r="K58" i="4"/>
  <c r="J58" i="4"/>
  <c r="K42" i="4"/>
  <c r="M42" i="4" s="1"/>
  <c r="J42" i="4"/>
  <c r="K26" i="4"/>
  <c r="J26" i="4"/>
  <c r="K8" i="4"/>
  <c r="M8" i="4" s="1"/>
  <c r="J8" i="4"/>
  <c r="K254" i="4"/>
  <c r="M254" i="4" s="1"/>
  <c r="J254" i="4"/>
  <c r="K238" i="4"/>
  <c r="M238" i="4" s="1"/>
  <c r="J238" i="4"/>
  <c r="K222" i="4"/>
  <c r="J222" i="4"/>
  <c r="K206" i="4"/>
  <c r="M206" i="4" s="1"/>
  <c r="J206" i="4"/>
  <c r="K190" i="4"/>
  <c r="J190" i="4"/>
  <c r="K174" i="4"/>
  <c r="M174" i="4" s="1"/>
  <c r="J174" i="4"/>
  <c r="K158" i="4"/>
  <c r="M158" i="4" s="1"/>
  <c r="J158" i="4"/>
  <c r="K142" i="4"/>
  <c r="M142" i="4" s="1"/>
  <c r="J142" i="4"/>
  <c r="K126" i="4"/>
  <c r="J126" i="4"/>
  <c r="K110" i="4"/>
  <c r="M110" i="4" s="1"/>
  <c r="J110" i="4"/>
  <c r="K77" i="4"/>
  <c r="J77" i="4"/>
  <c r="K61" i="4"/>
  <c r="M61" i="4" s="1"/>
  <c r="J61" i="4"/>
  <c r="K45" i="4"/>
  <c r="J45" i="4"/>
  <c r="K29" i="4"/>
  <c r="M29" i="4" s="1"/>
  <c r="J29" i="4"/>
  <c r="K12" i="4"/>
  <c r="J12" i="4"/>
  <c r="K261" i="4"/>
  <c r="M261" i="4" s="1"/>
  <c r="J261" i="4"/>
  <c r="K245" i="4"/>
  <c r="J245" i="4"/>
  <c r="K229" i="4"/>
  <c r="M229" i="4" s="1"/>
  <c r="J229" i="4"/>
  <c r="K213" i="4"/>
  <c r="J213" i="4"/>
  <c r="K197" i="4"/>
  <c r="M197" i="4" s="1"/>
  <c r="J197" i="4"/>
  <c r="K181" i="4"/>
  <c r="J181" i="4"/>
  <c r="K165" i="4"/>
  <c r="M165" i="4" s="1"/>
  <c r="J165" i="4"/>
  <c r="K149" i="4"/>
  <c r="J149" i="4"/>
  <c r="K133" i="4"/>
  <c r="M133" i="4" s="1"/>
  <c r="J133" i="4"/>
  <c r="K117" i="4"/>
  <c r="J117" i="4"/>
  <c r="K101" i="4"/>
  <c r="M101" i="4" s="1"/>
  <c r="J101" i="4"/>
  <c r="K80" i="4"/>
  <c r="J80" i="4"/>
  <c r="K64" i="4"/>
  <c r="M64" i="4" s="1"/>
  <c r="J64" i="4"/>
  <c r="K48" i="4"/>
  <c r="J48" i="4"/>
  <c r="K32" i="4"/>
  <c r="M32" i="4" s="1"/>
  <c r="J32" i="4"/>
  <c r="K16" i="4"/>
  <c r="J16" i="4"/>
  <c r="K15" i="4"/>
  <c r="M15" i="4" s="1"/>
  <c r="J15" i="4"/>
  <c r="K92" i="4"/>
  <c r="M92" i="4" s="1"/>
  <c r="J92" i="4"/>
  <c r="M48" i="4" l="1"/>
  <c r="M117" i="4"/>
  <c r="M181" i="4"/>
  <c r="M245" i="4"/>
  <c r="M77" i="4"/>
  <c r="M58" i="4"/>
  <c r="M90" i="4"/>
  <c r="M191" i="4"/>
  <c r="M223" i="4"/>
  <c r="M255" i="4"/>
  <c r="M129" i="4"/>
  <c r="M186" i="4"/>
  <c r="M219" i="4"/>
  <c r="M252" i="4"/>
  <c r="M63" i="4"/>
  <c r="M52" i="4"/>
  <c r="M84" i="4"/>
  <c r="M121" i="4"/>
  <c r="M185" i="4"/>
  <c r="M217" i="4"/>
  <c r="M249" i="4"/>
  <c r="M49" i="4"/>
  <c r="M114" i="4"/>
  <c r="M210" i="4"/>
  <c r="M46" i="4"/>
  <c r="M78" i="4"/>
  <c r="M115" i="4"/>
  <c r="M147" i="4"/>
  <c r="M179" i="4"/>
  <c r="M243" i="4"/>
  <c r="M75" i="4"/>
  <c r="M224" i="4"/>
  <c r="M228" i="4"/>
  <c r="M184" i="4"/>
  <c r="M71" i="4"/>
  <c r="M113" i="4"/>
  <c r="M193" i="4"/>
  <c r="M25" i="4"/>
  <c r="M106" i="4"/>
  <c r="M218" i="4"/>
  <c r="M54" i="4"/>
  <c r="M273" i="4"/>
  <c r="M91" i="4"/>
  <c r="M40" i="4"/>
  <c r="M72" i="4"/>
  <c r="M109" i="4"/>
  <c r="M173" i="4"/>
  <c r="M37" i="4"/>
  <c r="M69" i="4"/>
  <c r="M102" i="4"/>
  <c r="M166" i="4"/>
  <c r="M198" i="4"/>
  <c r="M230" i="4"/>
  <c r="M34" i="4"/>
  <c r="M66" i="4"/>
  <c r="M135" i="4"/>
  <c r="M199" i="4"/>
  <c r="M231" i="4"/>
  <c r="M27" i="4"/>
  <c r="M172" i="4"/>
  <c r="M47" i="4"/>
  <c r="M176" i="4"/>
  <c r="M51" i="4"/>
  <c r="M60" i="4"/>
  <c r="M257" i="4"/>
  <c r="M73" i="4"/>
  <c r="M187" i="4"/>
  <c r="M39" i="4"/>
  <c r="M16" i="4"/>
  <c r="M80" i="4"/>
  <c r="M149" i="4"/>
  <c r="M213" i="4"/>
  <c r="M12" i="4"/>
  <c r="M45" i="4"/>
  <c r="M126" i="4"/>
  <c r="M190" i="4"/>
  <c r="M222" i="4"/>
  <c r="M26" i="4"/>
  <c r="M127" i="4"/>
  <c r="M17" i="4"/>
  <c r="M13" i="4"/>
  <c r="M3" i="4"/>
  <c r="N2" i="4"/>
  <c r="H322" i="5" l="1"/>
  <c r="H55" i="5"/>
  <c r="J55" i="5" s="1"/>
  <c r="H231" i="5"/>
  <c r="H27" i="5"/>
  <c r="H91" i="5"/>
  <c r="H155" i="5"/>
  <c r="H219" i="5"/>
  <c r="H283" i="5"/>
  <c r="J283" i="5" s="1"/>
  <c r="H183" i="5"/>
  <c r="H63" i="5"/>
  <c r="J63" i="5" s="1"/>
  <c r="H127" i="5"/>
  <c r="H191" i="5"/>
  <c r="J191" i="5" s="1"/>
  <c r="H255" i="5"/>
  <c r="H71" i="5"/>
  <c r="J71" i="5" s="1"/>
  <c r="H15" i="5"/>
  <c r="H51" i="5"/>
  <c r="J51" i="5" s="1"/>
  <c r="H115" i="5"/>
  <c r="H179" i="5"/>
  <c r="J179" i="5" s="1"/>
  <c r="H243" i="5"/>
  <c r="H299" i="5"/>
  <c r="J299" i="5" s="1"/>
  <c r="H8" i="5"/>
  <c r="H24" i="5"/>
  <c r="J24" i="5" s="1"/>
  <c r="H40" i="5"/>
  <c r="H56" i="5"/>
  <c r="J56" i="5" s="1"/>
  <c r="H72" i="5"/>
  <c r="H88" i="5"/>
  <c r="J88" i="5" s="1"/>
  <c r="H104" i="5"/>
  <c r="H120" i="5"/>
  <c r="J120" i="5" s="1"/>
  <c r="H136" i="5"/>
  <c r="H152" i="5"/>
  <c r="J152" i="5" s="1"/>
  <c r="H168" i="5"/>
  <c r="H184" i="5"/>
  <c r="J184" i="5" s="1"/>
  <c r="H200" i="5"/>
  <c r="H216" i="5"/>
  <c r="H232" i="5"/>
  <c r="H248" i="5"/>
  <c r="H264" i="5"/>
  <c r="H280" i="5"/>
  <c r="J280" i="5" s="1"/>
  <c r="H296" i="5"/>
  <c r="H312" i="5"/>
  <c r="J312" i="5" s="1"/>
  <c r="H295" i="5"/>
  <c r="H13" i="5"/>
  <c r="J13" i="5" s="1"/>
  <c r="H29" i="5"/>
  <c r="H45" i="5"/>
  <c r="J45" i="5" s="1"/>
  <c r="H61" i="5"/>
  <c r="H77" i="5"/>
  <c r="J77" i="5" s="1"/>
  <c r="H93" i="5"/>
  <c r="H109" i="5"/>
  <c r="H125" i="5"/>
  <c r="H141" i="5"/>
  <c r="J141" i="5" s="1"/>
  <c r="H157" i="5"/>
  <c r="H173" i="5"/>
  <c r="J173" i="5" s="1"/>
  <c r="H189" i="5"/>
  <c r="H205" i="5"/>
  <c r="J205" i="5" s="1"/>
  <c r="H221" i="5"/>
  <c r="H237" i="5"/>
  <c r="J237" i="5" s="1"/>
  <c r="H253" i="5"/>
  <c r="H269" i="5"/>
  <c r="J269" i="5" s="1"/>
  <c r="H285" i="5"/>
  <c r="H301" i="5"/>
  <c r="J301" i="5" s="1"/>
  <c r="H317" i="5"/>
  <c r="H311" i="5"/>
  <c r="J311" i="5" s="1"/>
  <c r="H10" i="5"/>
  <c r="H26" i="5"/>
  <c r="H42" i="5"/>
  <c r="H58" i="5"/>
  <c r="J58" i="5" s="1"/>
  <c r="H74" i="5"/>
  <c r="H90" i="5"/>
  <c r="J90" i="5" s="1"/>
  <c r="H106" i="5"/>
  <c r="H122" i="5"/>
  <c r="H138" i="5"/>
  <c r="H154" i="5"/>
  <c r="J154" i="5" s="1"/>
  <c r="H170" i="5"/>
  <c r="H186" i="5"/>
  <c r="J186" i="5" s="1"/>
  <c r="H202" i="5"/>
  <c r="H218" i="5"/>
  <c r="J218" i="5" s="1"/>
  <c r="H234" i="5"/>
  <c r="H250" i="5"/>
  <c r="H266" i="5"/>
  <c r="H282" i="5"/>
  <c r="J282" i="5" s="1"/>
  <c r="H298" i="5"/>
  <c r="H314" i="5"/>
  <c r="J314" i="5" s="1"/>
  <c r="H103" i="5"/>
  <c r="H263" i="5"/>
  <c r="J263" i="5" s="1"/>
  <c r="H43" i="5"/>
  <c r="H107" i="5"/>
  <c r="J107" i="5" s="1"/>
  <c r="H171" i="5"/>
  <c r="H235" i="5"/>
  <c r="J235" i="5" s="1"/>
  <c r="H39" i="5"/>
  <c r="H247" i="5"/>
  <c r="J247" i="5" s="1"/>
  <c r="H79" i="5"/>
  <c r="H143" i="5"/>
  <c r="J143" i="5" s="1"/>
  <c r="H207" i="5"/>
  <c r="H271" i="5"/>
  <c r="J271" i="5" s="1"/>
  <c r="H119" i="5"/>
  <c r="H3" i="5"/>
  <c r="J3" i="5" s="1"/>
  <c r="H67" i="5"/>
  <c r="H131" i="5"/>
  <c r="J131" i="5" s="1"/>
  <c r="H195" i="5"/>
  <c r="H259" i="5"/>
  <c r="J259" i="5" s="1"/>
  <c r="H307" i="5"/>
  <c r="H12" i="5"/>
  <c r="J12" i="5" s="1"/>
  <c r="H28" i="5"/>
  <c r="H44" i="5"/>
  <c r="H60" i="5"/>
  <c r="H76" i="5"/>
  <c r="H92" i="5"/>
  <c r="H108" i="5"/>
  <c r="J108" i="5" s="1"/>
  <c r="H124" i="5"/>
  <c r="H140" i="5"/>
  <c r="J140" i="5" s="1"/>
  <c r="H156" i="5"/>
  <c r="H172" i="5"/>
  <c r="J172" i="5" s="1"/>
  <c r="H188" i="5"/>
  <c r="H204" i="5"/>
  <c r="J204" i="5" s="1"/>
  <c r="H220" i="5"/>
  <c r="H236" i="5"/>
  <c r="J236" i="5" s="1"/>
  <c r="H252" i="5"/>
  <c r="H268" i="5"/>
  <c r="J268" i="5" s="1"/>
  <c r="H284" i="5"/>
  <c r="H300" i="5"/>
  <c r="J300" i="5" s="1"/>
  <c r="H316" i="5"/>
  <c r="H315" i="5"/>
  <c r="H17" i="5"/>
  <c r="H33" i="5"/>
  <c r="J33" i="5" s="1"/>
  <c r="H49" i="5"/>
  <c r="H65" i="5"/>
  <c r="J65" i="5" s="1"/>
  <c r="H81" i="5"/>
  <c r="H97" i="5"/>
  <c r="J97" i="5" s="1"/>
  <c r="H113" i="5"/>
  <c r="H129" i="5"/>
  <c r="H145" i="5"/>
  <c r="H161" i="5"/>
  <c r="J161" i="5" s="1"/>
  <c r="H177" i="5"/>
  <c r="H193" i="5"/>
  <c r="J193" i="5" s="1"/>
  <c r="H209" i="5"/>
  <c r="H225" i="5"/>
  <c r="J225" i="5" s="1"/>
  <c r="H241" i="5"/>
  <c r="H257" i="5"/>
  <c r="H273" i="5"/>
  <c r="H289" i="5"/>
  <c r="J289" i="5" s="1"/>
  <c r="H305" i="5"/>
  <c r="H321" i="5"/>
  <c r="J321" i="5" s="1"/>
  <c r="H319" i="5"/>
  <c r="H14" i="5"/>
  <c r="J14" i="5" s="1"/>
  <c r="H30" i="5"/>
  <c r="H46" i="5"/>
  <c r="J46" i="5" s="1"/>
  <c r="H62" i="5"/>
  <c r="H78" i="5"/>
  <c r="J78" i="5" s="1"/>
  <c r="H94" i="5"/>
  <c r="H110" i="5"/>
  <c r="J110" i="5" s="1"/>
  <c r="H126" i="5"/>
  <c r="H142" i="5"/>
  <c r="J142" i="5" s="1"/>
  <c r="H158" i="5"/>
  <c r="H174" i="5"/>
  <c r="H190" i="5"/>
  <c r="H206" i="5"/>
  <c r="J206" i="5" s="1"/>
  <c r="H222" i="5"/>
  <c r="H238" i="5"/>
  <c r="J238" i="5" s="1"/>
  <c r="H254" i="5"/>
  <c r="H270" i="5"/>
  <c r="J270" i="5" s="1"/>
  <c r="H286" i="5"/>
  <c r="H302" i="5"/>
  <c r="J302" i="5" s="1"/>
  <c r="H318" i="5"/>
  <c r="H151" i="5"/>
  <c r="J151" i="5" s="1"/>
  <c r="H279" i="5"/>
  <c r="H59" i="5"/>
  <c r="J59" i="5" s="1"/>
  <c r="H123" i="5"/>
  <c r="H187" i="5"/>
  <c r="J187" i="5" s="1"/>
  <c r="H251" i="5"/>
  <c r="H87" i="5"/>
  <c r="J87" i="5" s="1"/>
  <c r="H31" i="5"/>
  <c r="H95" i="5"/>
  <c r="J95" i="5" s="1"/>
  <c r="H159" i="5"/>
  <c r="H223" i="5"/>
  <c r="J223" i="5" s="1"/>
  <c r="H287" i="5"/>
  <c r="H167" i="5"/>
  <c r="J167" i="5" s="1"/>
  <c r="H19" i="5"/>
  <c r="H83" i="5"/>
  <c r="H147" i="5"/>
  <c r="H211" i="5"/>
  <c r="J211" i="5" s="1"/>
  <c r="H275" i="5"/>
  <c r="H323" i="5"/>
  <c r="J323" i="5" s="1"/>
  <c r="H16" i="5"/>
  <c r="H32" i="5"/>
  <c r="J32" i="5" s="1"/>
  <c r="H48" i="5"/>
  <c r="H64" i="5"/>
  <c r="J64" i="5" s="1"/>
  <c r="H80" i="5"/>
  <c r="H96" i="5"/>
  <c r="J96" i="5" s="1"/>
  <c r="H112" i="5"/>
  <c r="H128" i="5"/>
  <c r="J128" i="5" s="1"/>
  <c r="H144" i="5"/>
  <c r="H160" i="5"/>
  <c r="J160" i="5" s="1"/>
  <c r="H176" i="5"/>
  <c r="H192" i="5"/>
  <c r="J192" i="5" s="1"/>
  <c r="H208" i="5"/>
  <c r="H224" i="5"/>
  <c r="J224" i="5" s="1"/>
  <c r="H240" i="5"/>
  <c r="H256" i="5"/>
  <c r="H272" i="5"/>
  <c r="H288" i="5"/>
  <c r="J288" i="5" s="1"/>
  <c r="H304" i="5"/>
  <c r="H320" i="5"/>
  <c r="J320" i="5" s="1"/>
  <c r="H2" i="5"/>
  <c r="H21" i="5"/>
  <c r="J21" i="5" s="1"/>
  <c r="H37" i="5"/>
  <c r="H53" i="5"/>
  <c r="J53" i="5" s="1"/>
  <c r="H69" i="5"/>
  <c r="H85" i="5"/>
  <c r="J85" i="5" s="1"/>
  <c r="H101" i="5"/>
  <c r="H117" i="5"/>
  <c r="J117" i="5" s="1"/>
  <c r="H133" i="5"/>
  <c r="H149" i="5"/>
  <c r="J149" i="5" s="1"/>
  <c r="H165" i="5"/>
  <c r="J165" i="5" s="1"/>
  <c r="H181" i="5"/>
  <c r="J181" i="5" s="1"/>
  <c r="H197" i="5"/>
  <c r="J197" i="5" s="1"/>
  <c r="H213" i="5"/>
  <c r="J213" i="5" s="1"/>
  <c r="H229" i="5"/>
  <c r="H245" i="5"/>
  <c r="J245" i="5" s="1"/>
  <c r="H261" i="5"/>
  <c r="H277" i="5"/>
  <c r="J277" i="5" s="1"/>
  <c r="H293" i="5"/>
  <c r="H309" i="5"/>
  <c r="J309" i="5" s="1"/>
  <c r="H325" i="5"/>
  <c r="H5" i="5"/>
  <c r="J5" i="5" s="1"/>
  <c r="H18" i="5"/>
  <c r="J18" i="5" s="1"/>
  <c r="H34" i="5"/>
  <c r="J34" i="5" s="1"/>
  <c r="H50" i="5"/>
  <c r="J50" i="5" s="1"/>
  <c r="H66" i="5"/>
  <c r="J66" i="5" s="1"/>
  <c r="H82" i="5"/>
  <c r="J82" i="5" s="1"/>
  <c r="H98" i="5"/>
  <c r="J98" i="5" s="1"/>
  <c r="H114" i="5"/>
  <c r="H130" i="5"/>
  <c r="J130" i="5" s="1"/>
  <c r="H146" i="5"/>
  <c r="J146" i="5" s="1"/>
  <c r="H162" i="5"/>
  <c r="J162" i="5" s="1"/>
  <c r="H178" i="5"/>
  <c r="H194" i="5"/>
  <c r="J194" i="5" s="1"/>
  <c r="H210" i="5"/>
  <c r="J210" i="5" s="1"/>
  <c r="H226" i="5"/>
  <c r="J226" i="5" s="1"/>
  <c r="H242" i="5"/>
  <c r="J242" i="5" s="1"/>
  <c r="H258" i="5"/>
  <c r="J258" i="5" s="1"/>
  <c r="H274" i="5"/>
  <c r="J274" i="5" s="1"/>
  <c r="H290" i="5"/>
  <c r="H306" i="5"/>
  <c r="J306" i="5" s="1"/>
  <c r="H7" i="5"/>
  <c r="J7" i="5" s="1"/>
  <c r="H199" i="5"/>
  <c r="J199" i="5" s="1"/>
  <c r="H11" i="5"/>
  <c r="J11" i="5" s="1"/>
  <c r="H75" i="5"/>
  <c r="J75" i="5" s="1"/>
  <c r="H139" i="5"/>
  <c r="J139" i="5" s="1"/>
  <c r="H203" i="5"/>
  <c r="J203" i="5" s="1"/>
  <c r="H267" i="5"/>
  <c r="J267" i="5" s="1"/>
  <c r="H135" i="5"/>
  <c r="J135" i="5" s="1"/>
  <c r="H47" i="5"/>
  <c r="J47" i="5" s="1"/>
  <c r="H111" i="5"/>
  <c r="J111" i="5" s="1"/>
  <c r="H175" i="5"/>
  <c r="J175" i="5" s="1"/>
  <c r="H239" i="5"/>
  <c r="J239" i="5" s="1"/>
  <c r="H23" i="5"/>
  <c r="J23" i="5" s="1"/>
  <c r="H215" i="5"/>
  <c r="J215" i="5" s="1"/>
  <c r="H35" i="5"/>
  <c r="J35" i="5" s="1"/>
  <c r="H99" i="5"/>
  <c r="J99" i="5" s="1"/>
  <c r="H163" i="5"/>
  <c r="J163" i="5" s="1"/>
  <c r="H227" i="5"/>
  <c r="J227" i="5" s="1"/>
  <c r="H291" i="5"/>
  <c r="J291" i="5" s="1"/>
  <c r="H4" i="5"/>
  <c r="J4" i="5" s="1"/>
  <c r="H20" i="5"/>
  <c r="J20" i="5" s="1"/>
  <c r="H36" i="5"/>
  <c r="J36" i="5" s="1"/>
  <c r="H52" i="5"/>
  <c r="J52" i="5" s="1"/>
  <c r="H68" i="5"/>
  <c r="J68" i="5" s="1"/>
  <c r="H84" i="5"/>
  <c r="J84" i="5" s="1"/>
  <c r="H100" i="5"/>
  <c r="J100" i="5" s="1"/>
  <c r="H116" i="5"/>
  <c r="J116" i="5" s="1"/>
  <c r="H132" i="5"/>
  <c r="J132" i="5" s="1"/>
  <c r="H148" i="5"/>
  <c r="J148" i="5" s="1"/>
  <c r="H164" i="5"/>
  <c r="J164" i="5" s="1"/>
  <c r="H180" i="5"/>
  <c r="J180" i="5" s="1"/>
  <c r="H196" i="5"/>
  <c r="H212" i="5"/>
  <c r="J212" i="5" s="1"/>
  <c r="H228" i="5"/>
  <c r="J228" i="5" s="1"/>
  <c r="H244" i="5"/>
  <c r="J244" i="5" s="1"/>
  <c r="H260" i="5"/>
  <c r="J260" i="5" s="1"/>
  <c r="H276" i="5"/>
  <c r="J276" i="5" s="1"/>
  <c r="H292" i="5"/>
  <c r="J292" i="5" s="1"/>
  <c r="H308" i="5"/>
  <c r="J308" i="5" s="1"/>
  <c r="H324" i="5"/>
  <c r="J324" i="5" s="1"/>
  <c r="H9" i="5"/>
  <c r="J9" i="5" s="1"/>
  <c r="H25" i="5"/>
  <c r="J25" i="5" s="1"/>
  <c r="H41" i="5"/>
  <c r="J41" i="5" s="1"/>
  <c r="H57" i="5"/>
  <c r="J57" i="5" s="1"/>
  <c r="H73" i="5"/>
  <c r="J73" i="5" s="1"/>
  <c r="H89" i="5"/>
  <c r="J89" i="5" s="1"/>
  <c r="H105" i="5"/>
  <c r="J105" i="5" s="1"/>
  <c r="H121" i="5"/>
  <c r="J121" i="5" s="1"/>
  <c r="H137" i="5"/>
  <c r="J137" i="5" s="1"/>
  <c r="H153" i="5"/>
  <c r="J153" i="5" s="1"/>
  <c r="H169" i="5"/>
  <c r="J169" i="5" s="1"/>
  <c r="H185" i="5"/>
  <c r="J185" i="5" s="1"/>
  <c r="H201" i="5"/>
  <c r="J201" i="5" s="1"/>
  <c r="H217" i="5"/>
  <c r="J217" i="5" s="1"/>
  <c r="H233" i="5"/>
  <c r="J233" i="5" s="1"/>
  <c r="H249" i="5"/>
  <c r="J249" i="5" s="1"/>
  <c r="H265" i="5"/>
  <c r="J265" i="5" s="1"/>
  <c r="H281" i="5"/>
  <c r="J281" i="5" s="1"/>
  <c r="H297" i="5"/>
  <c r="J297" i="5" s="1"/>
  <c r="H313" i="5"/>
  <c r="J313" i="5" s="1"/>
  <c r="H303" i="5"/>
  <c r="J303" i="5" s="1"/>
  <c r="H6" i="5"/>
  <c r="J6" i="5" s="1"/>
  <c r="H22" i="5"/>
  <c r="J22" i="5" s="1"/>
  <c r="H38" i="5"/>
  <c r="J38" i="5" s="1"/>
  <c r="H54" i="5"/>
  <c r="J54" i="5" s="1"/>
  <c r="H70" i="5"/>
  <c r="J70" i="5" s="1"/>
  <c r="H86" i="5"/>
  <c r="J86" i="5" s="1"/>
  <c r="H102" i="5"/>
  <c r="J102" i="5" s="1"/>
  <c r="H118" i="5"/>
  <c r="J118" i="5" s="1"/>
  <c r="H134" i="5"/>
  <c r="J134" i="5" s="1"/>
  <c r="H150" i="5"/>
  <c r="J150" i="5" s="1"/>
  <c r="H166" i="5"/>
  <c r="J166" i="5" s="1"/>
  <c r="H182" i="5"/>
  <c r="J182" i="5" s="1"/>
  <c r="H198" i="5"/>
  <c r="J198" i="5" s="1"/>
  <c r="H214" i="5"/>
  <c r="J214" i="5" s="1"/>
  <c r="H230" i="5"/>
  <c r="J230" i="5" s="1"/>
  <c r="H246" i="5"/>
  <c r="J246" i="5" s="1"/>
  <c r="H262" i="5"/>
  <c r="J262" i="5" s="1"/>
  <c r="H278" i="5"/>
  <c r="J278" i="5" s="1"/>
  <c r="H294" i="5"/>
  <c r="J294" i="5" s="1"/>
  <c r="H310" i="5"/>
  <c r="J310" i="5" s="1"/>
  <c r="H326" i="5"/>
  <c r="J326" i="5" s="1"/>
  <c r="J250" i="5"/>
  <c r="J207" i="5"/>
  <c r="J40" i="5"/>
  <c r="J296" i="5"/>
  <c r="J106" i="5"/>
  <c r="J178" i="5"/>
  <c r="J195" i="5"/>
  <c r="J92" i="5"/>
  <c r="J284" i="5"/>
  <c r="J17" i="5"/>
  <c r="J145" i="5"/>
  <c r="J285" i="5"/>
  <c r="J158" i="5"/>
  <c r="J155" i="5"/>
  <c r="J229" i="5"/>
  <c r="J171" i="5"/>
  <c r="J251" i="5"/>
  <c r="J123" i="5"/>
  <c r="J19" i="5"/>
  <c r="J254" i="5"/>
  <c r="J298" i="5"/>
  <c r="J27" i="5"/>
  <c r="J159" i="5"/>
  <c r="J287" i="5"/>
  <c r="J248" i="5"/>
  <c r="J138" i="5"/>
  <c r="J74" i="5"/>
  <c r="J222" i="5"/>
  <c r="J15" i="5"/>
  <c r="J79" i="5"/>
  <c r="J147" i="5"/>
  <c r="J275" i="5"/>
  <c r="J44" i="5"/>
  <c r="J29" i="5"/>
  <c r="J93" i="5"/>
  <c r="J157" i="5"/>
  <c r="J221" i="5"/>
  <c r="J114" i="5"/>
  <c r="J83" i="5"/>
  <c r="J279" i="5"/>
  <c r="J48" i="5"/>
  <c r="J112" i="5"/>
  <c r="J176" i="5"/>
  <c r="J240" i="5"/>
  <c r="J304" i="5"/>
  <c r="J122" i="5"/>
  <c r="J315" i="5"/>
  <c r="J104" i="5"/>
  <c r="J232" i="5"/>
  <c r="J293" i="5"/>
  <c r="J156" i="5"/>
  <c r="J67" i="5"/>
  <c r="J81" i="5"/>
  <c r="J209" i="5"/>
  <c r="J94" i="5"/>
  <c r="J37" i="5"/>
  <c r="J305" i="5"/>
  <c r="J196" i="5"/>
  <c r="J219" i="5"/>
  <c r="J69" i="5"/>
  <c r="J91" i="5"/>
  <c r="J42" i="5"/>
  <c r="J319" i="5"/>
  <c r="J43" i="5"/>
  <c r="J8" i="5"/>
  <c r="J72" i="5"/>
  <c r="J136" i="5"/>
  <c r="J200" i="5"/>
  <c r="J264" i="5"/>
  <c r="J253" i="5"/>
  <c r="J325" i="5"/>
  <c r="J170" i="5"/>
  <c r="J202" i="5"/>
  <c r="J31" i="5"/>
  <c r="J60" i="5"/>
  <c r="J124" i="5"/>
  <c r="J188" i="5"/>
  <c r="J252" i="5"/>
  <c r="J316" i="5"/>
  <c r="J109" i="5"/>
  <c r="J322" i="5"/>
  <c r="J234" i="5"/>
  <c r="J2" i="5"/>
  <c r="J103" i="5"/>
  <c r="J231" i="5"/>
  <c r="J295" i="5"/>
  <c r="J256" i="5"/>
  <c r="J49" i="5"/>
  <c r="J113" i="5"/>
  <c r="J177" i="5"/>
  <c r="J241" i="5"/>
  <c r="J317" i="5"/>
  <c r="J174" i="5"/>
  <c r="J26" i="5"/>
  <c r="J168" i="5"/>
  <c r="J266" i="5"/>
  <c r="J307" i="5"/>
  <c r="J28" i="5"/>
  <c r="J220" i="5"/>
  <c r="J101" i="5"/>
  <c r="J39" i="5"/>
  <c r="J10" i="5"/>
  <c r="J133" i="5"/>
  <c r="J290" i="5"/>
  <c r="J127" i="5"/>
  <c r="J255" i="5"/>
  <c r="J216" i="5"/>
  <c r="J273" i="5"/>
  <c r="J30" i="5"/>
  <c r="J318" i="5"/>
  <c r="J190" i="5"/>
  <c r="J115" i="5"/>
  <c r="J243" i="5"/>
  <c r="J76" i="5"/>
  <c r="J261" i="5"/>
  <c r="J61" i="5"/>
  <c r="J125" i="5"/>
  <c r="J189" i="5"/>
  <c r="J257" i="5"/>
  <c r="J119" i="5"/>
  <c r="J183" i="5"/>
  <c r="J16" i="5"/>
  <c r="J80" i="5"/>
  <c r="J144" i="5"/>
  <c r="J208" i="5"/>
  <c r="J272" i="5"/>
  <c r="J129" i="5"/>
  <c r="J62" i="5"/>
  <c r="J126" i="5"/>
  <c r="J286" i="5"/>
  <c r="N3" i="4"/>
  <c r="N4" i="4" s="1"/>
  <c r="N5" i="4" s="1"/>
  <c r="N6" i="4" s="1"/>
  <c r="N7" i="4" s="1"/>
  <c r="N8" i="4" s="1"/>
  <c r="N9" i="4" s="1"/>
  <c r="N10" i="4" s="1"/>
  <c r="N11" i="4" s="1"/>
  <c r="N12" i="4" s="1"/>
  <c r="N13" i="4" s="1"/>
  <c r="N14" i="4" s="1"/>
  <c r="N15" i="4" s="1"/>
  <c r="N16" i="4" s="1"/>
  <c r="N17" i="4" s="1"/>
  <c r="N18" i="4" s="1"/>
  <c r="N19" i="4" s="1"/>
  <c r="N20" i="4" s="1"/>
  <c r="N21" i="4" s="1"/>
  <c r="N22" i="4" s="1"/>
  <c r="N23" i="4" s="1"/>
  <c r="N24" i="4" s="1"/>
  <c r="N25" i="4" s="1"/>
  <c r="N26" i="4" s="1"/>
  <c r="N27" i="4" s="1"/>
  <c r="N28" i="4" s="1"/>
  <c r="N29" i="4" s="1"/>
  <c r="N30" i="4" s="1"/>
  <c r="N31" i="4" s="1"/>
  <c r="N32" i="4" s="1"/>
  <c r="N33" i="4" s="1"/>
  <c r="N34" i="4" s="1"/>
  <c r="N35" i="4" s="1"/>
  <c r="N36" i="4" s="1"/>
  <c r="N37" i="4" s="1"/>
  <c r="N38" i="4" s="1"/>
  <c r="N39" i="4" s="1"/>
  <c r="N40" i="4" s="1"/>
  <c r="N41" i="4" s="1"/>
  <c r="N42" i="4" s="1"/>
  <c r="N43" i="4" s="1"/>
  <c r="N44" i="4" s="1"/>
  <c r="N45" i="4" s="1"/>
  <c r="N46" i="4" s="1"/>
  <c r="N47" i="4" s="1"/>
  <c r="N48" i="4" s="1"/>
  <c r="N49" i="4" s="1"/>
  <c r="N50" i="4" s="1"/>
  <c r="N51" i="4" s="1"/>
  <c r="N52" i="4" s="1"/>
  <c r="N53" i="4" s="1"/>
  <c r="N54" i="4" s="1"/>
  <c r="N55" i="4" s="1"/>
  <c r="N56" i="4" s="1"/>
  <c r="N57" i="4" s="1"/>
  <c r="N58" i="4" s="1"/>
  <c r="N59" i="4" s="1"/>
  <c r="N60" i="4" s="1"/>
  <c r="N61" i="4" s="1"/>
  <c r="N62" i="4" s="1"/>
  <c r="N63" i="4" s="1"/>
  <c r="N64" i="4" s="1"/>
  <c r="N65" i="4" s="1"/>
  <c r="N66" i="4" s="1"/>
  <c r="N67" i="4" s="1"/>
  <c r="N68" i="4" s="1"/>
  <c r="N69" i="4" s="1"/>
  <c r="N70" i="4" s="1"/>
  <c r="N71" i="4" s="1"/>
  <c r="N72" i="4" s="1"/>
  <c r="N73" i="4" s="1"/>
  <c r="N74" i="4" s="1"/>
  <c r="N75" i="4" s="1"/>
  <c r="N76" i="4" s="1"/>
  <c r="N77" i="4" s="1"/>
  <c r="N78" i="4" s="1"/>
  <c r="N79" i="4" s="1"/>
  <c r="N80" i="4" s="1"/>
  <c r="N81" i="4" s="1"/>
  <c r="N82" i="4" s="1"/>
  <c r="N83" i="4" s="1"/>
  <c r="N84" i="4" s="1"/>
  <c r="N85" i="4" s="1"/>
  <c r="N86" i="4" s="1"/>
  <c r="N87" i="4" s="1"/>
  <c r="N88" i="4" s="1"/>
  <c r="N89" i="4" s="1"/>
  <c r="N90" i="4" s="1"/>
  <c r="N91" i="4" s="1"/>
  <c r="N92" i="4" s="1"/>
  <c r="N93" i="4" s="1"/>
  <c r="N94" i="4" s="1"/>
  <c r="N95" i="4" s="1"/>
  <c r="N96" i="4" s="1"/>
  <c r="N97" i="4" s="1"/>
  <c r="N98" i="4" s="1"/>
  <c r="N99" i="4" s="1"/>
  <c r="N100" i="4" s="1"/>
  <c r="N101" i="4" s="1"/>
  <c r="N102" i="4" s="1"/>
  <c r="N103" i="4" s="1"/>
  <c r="N104" i="4" s="1"/>
  <c r="N105" i="4" s="1"/>
  <c r="N106" i="4" s="1"/>
  <c r="N107" i="4" s="1"/>
  <c r="N108" i="4" s="1"/>
  <c r="N109" i="4" s="1"/>
  <c r="N110" i="4" s="1"/>
  <c r="N111" i="4" s="1"/>
  <c r="N112" i="4" s="1"/>
  <c r="N113" i="4" s="1"/>
  <c r="N114" i="4" s="1"/>
  <c r="N115" i="4" s="1"/>
  <c r="N116" i="4" s="1"/>
  <c r="N117" i="4" s="1"/>
  <c r="N118" i="4" s="1"/>
  <c r="N119" i="4" s="1"/>
  <c r="N120" i="4" s="1"/>
  <c r="N121" i="4" s="1"/>
  <c r="N122" i="4" s="1"/>
  <c r="N123" i="4" s="1"/>
  <c r="N124" i="4" s="1"/>
  <c r="N125" i="4" s="1"/>
  <c r="N126" i="4" s="1"/>
  <c r="N127" i="4" s="1"/>
  <c r="N128" i="4" s="1"/>
  <c r="N129" i="4" s="1"/>
  <c r="N130" i="4" s="1"/>
  <c r="N131" i="4" s="1"/>
  <c r="N132" i="4" s="1"/>
  <c r="N133" i="4" s="1"/>
  <c r="N134" i="4" s="1"/>
  <c r="N135" i="4" s="1"/>
  <c r="N136" i="4" s="1"/>
  <c r="N137" i="4" s="1"/>
  <c r="N138" i="4" s="1"/>
  <c r="N139" i="4" s="1"/>
  <c r="N140" i="4" s="1"/>
  <c r="N141" i="4" s="1"/>
  <c r="N142" i="4" s="1"/>
  <c r="N143" i="4" s="1"/>
  <c r="N144" i="4" s="1"/>
  <c r="N145" i="4" s="1"/>
  <c r="N146" i="4" s="1"/>
  <c r="N147" i="4" s="1"/>
  <c r="N148" i="4" s="1"/>
  <c r="N149" i="4" s="1"/>
  <c r="N150" i="4" s="1"/>
  <c r="N151" i="4" s="1"/>
  <c r="N152" i="4" s="1"/>
  <c r="N153" i="4" s="1"/>
  <c r="N154" i="4" s="1"/>
  <c r="N155" i="4" s="1"/>
  <c r="N156" i="4" s="1"/>
  <c r="N157" i="4" s="1"/>
  <c r="N158" i="4" s="1"/>
  <c r="N159" i="4" s="1"/>
  <c r="N160" i="4" s="1"/>
  <c r="N161" i="4" s="1"/>
  <c r="N162" i="4" s="1"/>
  <c r="N163" i="4" s="1"/>
  <c r="N164" i="4" s="1"/>
  <c r="N165" i="4" s="1"/>
  <c r="N166" i="4" s="1"/>
  <c r="N167" i="4" s="1"/>
  <c r="N168" i="4" s="1"/>
  <c r="N169" i="4" s="1"/>
  <c r="N170" i="4" s="1"/>
  <c r="N171" i="4" s="1"/>
  <c r="N172" i="4" s="1"/>
  <c r="N173" i="4" s="1"/>
  <c r="N174" i="4" s="1"/>
  <c r="N175" i="4" s="1"/>
  <c r="N176" i="4" s="1"/>
  <c r="N177" i="4" s="1"/>
  <c r="N178" i="4" s="1"/>
  <c r="N179" i="4" s="1"/>
  <c r="N180" i="4" s="1"/>
  <c r="N181" i="4" s="1"/>
  <c r="N182" i="4" s="1"/>
  <c r="N183" i="4" s="1"/>
  <c r="N184" i="4" s="1"/>
  <c r="N185" i="4" s="1"/>
  <c r="N186" i="4" s="1"/>
  <c r="N187" i="4" s="1"/>
  <c r="N188" i="4" s="1"/>
  <c r="N189" i="4" s="1"/>
  <c r="N190" i="4" s="1"/>
  <c r="N191" i="4" s="1"/>
  <c r="N192" i="4" s="1"/>
  <c r="N193" i="4" s="1"/>
  <c r="N194" i="4" s="1"/>
  <c r="N195" i="4" s="1"/>
  <c r="N196" i="4" s="1"/>
  <c r="N197" i="4" s="1"/>
  <c r="N198" i="4" s="1"/>
  <c r="N199" i="4" s="1"/>
  <c r="N200" i="4" s="1"/>
  <c r="N201" i="4" s="1"/>
  <c r="N202" i="4" s="1"/>
  <c r="N203" i="4" s="1"/>
  <c r="N204" i="4" s="1"/>
  <c r="N205" i="4" s="1"/>
  <c r="N206" i="4" s="1"/>
  <c r="N207" i="4" s="1"/>
  <c r="N208" i="4" s="1"/>
  <c r="N209" i="4" s="1"/>
  <c r="N210" i="4" s="1"/>
  <c r="N211" i="4" s="1"/>
  <c r="N212" i="4" s="1"/>
  <c r="N213" i="4" s="1"/>
  <c r="N214" i="4" s="1"/>
  <c r="N215" i="4" s="1"/>
  <c r="N216" i="4" s="1"/>
  <c r="N217" i="4" s="1"/>
  <c r="N218" i="4" s="1"/>
  <c r="N219" i="4" s="1"/>
  <c r="N220" i="4" s="1"/>
  <c r="N221" i="4" s="1"/>
  <c r="N222" i="4" s="1"/>
  <c r="N223" i="4" s="1"/>
  <c r="N224" i="4" s="1"/>
  <c r="N225" i="4" s="1"/>
  <c r="N226" i="4" s="1"/>
  <c r="N227" i="4" s="1"/>
  <c r="N228" i="4" s="1"/>
  <c r="N229" i="4" s="1"/>
  <c r="N230" i="4" s="1"/>
  <c r="N231" i="4" s="1"/>
  <c r="N232" i="4" s="1"/>
  <c r="N233" i="4" s="1"/>
  <c r="N234" i="4" s="1"/>
  <c r="N235" i="4" s="1"/>
  <c r="N236" i="4" s="1"/>
  <c r="N237" i="4" s="1"/>
  <c r="N238" i="4" s="1"/>
  <c r="N239" i="4" s="1"/>
  <c r="N240" i="4" s="1"/>
  <c r="N241" i="4" s="1"/>
  <c r="N242" i="4" s="1"/>
  <c r="N243" i="4" s="1"/>
  <c r="N244" i="4" s="1"/>
  <c r="N245" i="4" s="1"/>
  <c r="N246" i="4" s="1"/>
  <c r="N247" i="4" s="1"/>
  <c r="N248" i="4" s="1"/>
  <c r="N249" i="4" s="1"/>
  <c r="N250" i="4" s="1"/>
  <c r="N251" i="4" s="1"/>
  <c r="N252" i="4" s="1"/>
  <c r="N253" i="4" s="1"/>
  <c r="N254" i="4" s="1"/>
  <c r="N255" i="4" s="1"/>
  <c r="N256" i="4" s="1"/>
  <c r="N257" i="4" s="1"/>
  <c r="N258" i="4" s="1"/>
  <c r="N259" i="4" s="1"/>
  <c r="N260" i="4" s="1"/>
  <c r="N261" i="4" s="1"/>
  <c r="N262" i="4" s="1"/>
  <c r="N263" i="4" s="1"/>
  <c r="N264" i="4" s="1"/>
  <c r="N265" i="4" s="1"/>
  <c r="N266" i="4" s="1"/>
  <c r="N267" i="4" s="1"/>
  <c r="N268" i="4" s="1"/>
  <c r="N269" i="4" s="1"/>
  <c r="N270" i="4" s="1"/>
  <c r="N271" i="4" s="1"/>
  <c r="N272" i="4" s="1"/>
  <c r="N273" i="4" s="1"/>
  <c r="N274" i="4" s="1"/>
  <c r="N275" i="4" s="1"/>
  <c r="N276" i="4" s="1"/>
  <c r="N277" i="4" s="1"/>
  <c r="N278" i="4" s="1"/>
  <c r="N279" i="4" s="1"/>
  <c r="N280" i="4" s="1"/>
  <c r="N281" i="4" s="1"/>
  <c r="N282" i="4" s="1"/>
  <c r="N283" i="4" s="1"/>
  <c r="N284" i="4" s="1"/>
  <c r="N285" i="4" s="1"/>
  <c r="N286" i="4" s="1"/>
  <c r="N287" i="4" s="1"/>
  <c r="N288" i="4" s="1"/>
  <c r="N289" i="4" s="1"/>
  <c r="N290" i="4" s="1"/>
  <c r="N291" i="4" s="1"/>
  <c r="N292" i="4" s="1"/>
  <c r="N293" i="4" s="1"/>
  <c r="N294" i="4" s="1"/>
  <c r="N295" i="4" s="1"/>
  <c r="N296" i="4" s="1"/>
  <c r="N297" i="4" s="1"/>
  <c r="N298" i="4" s="1"/>
  <c r="N299" i="4" s="1"/>
  <c r="N300" i="4" s="1"/>
  <c r="N301" i="4" s="1"/>
  <c r="N302" i="4" s="1"/>
  <c r="N303" i="4" s="1"/>
  <c r="N304" i="4" s="1"/>
  <c r="N305" i="4" s="1"/>
  <c r="N306" i="4" s="1"/>
  <c r="N307" i="4" s="1"/>
  <c r="N308" i="4" s="1"/>
  <c r="N309" i="4" s="1"/>
  <c r="N310" i="4" s="1"/>
  <c r="N311" i="4" s="1"/>
  <c r="N312" i="4" s="1"/>
  <c r="N313" i="4" s="1"/>
  <c r="N314" i="4" s="1"/>
  <c r="N315" i="4" s="1"/>
  <c r="N316" i="4" s="1"/>
  <c r="N317" i="4" s="1"/>
  <c r="N318" i="4" s="1"/>
  <c r="N319" i="4" s="1"/>
  <c r="N320" i="4" s="1"/>
  <c r="N321" i="4" s="1"/>
  <c r="N322" i="4" s="1"/>
  <c r="N323" i="4" s="1"/>
  <c r="N324" i="4" s="1"/>
  <c r="N325" i="4" s="1"/>
  <c r="N326" i="4" s="1"/>
  <c r="C10" i="6" s="1"/>
  <c r="K189" i="5" l="1"/>
  <c r="K22" i="5"/>
  <c r="N22" i="5" s="1"/>
  <c r="K121" i="5"/>
  <c r="K153" i="5"/>
  <c r="K185" i="5"/>
  <c r="K10" i="5"/>
  <c r="N10" i="5" s="1"/>
  <c r="K323" i="5"/>
  <c r="K307" i="5"/>
  <c r="K291" i="5"/>
  <c r="K275" i="5"/>
  <c r="K316" i="5"/>
  <c r="K300" i="5"/>
  <c r="K284" i="5"/>
  <c r="K269" i="5"/>
  <c r="K309" i="5"/>
  <c r="K293" i="5"/>
  <c r="K277" i="5"/>
  <c r="K254" i="5"/>
  <c r="K238" i="5"/>
  <c r="K228" i="5"/>
  <c r="K220" i="5"/>
  <c r="K212" i="5"/>
  <c r="K314" i="5"/>
  <c r="K267" i="5"/>
  <c r="K251" i="5"/>
  <c r="K235" i="5"/>
  <c r="K278" i="5"/>
  <c r="K265" i="5"/>
  <c r="K249" i="5"/>
  <c r="K233" i="5"/>
  <c r="K225" i="5"/>
  <c r="K239" i="5"/>
  <c r="K202" i="5"/>
  <c r="K194" i="5"/>
  <c r="K318" i="5"/>
  <c r="K207" i="5"/>
  <c r="K199" i="5"/>
  <c r="K176" i="5"/>
  <c r="K160" i="5"/>
  <c r="K144" i="5"/>
  <c r="K128" i="5"/>
  <c r="K112" i="5"/>
  <c r="K102" i="5"/>
  <c r="K94" i="5"/>
  <c r="K86" i="5"/>
  <c r="K78" i="5"/>
  <c r="K70" i="5"/>
  <c r="K62" i="5"/>
  <c r="K54" i="5"/>
  <c r="K46" i="5"/>
  <c r="K38" i="5"/>
  <c r="K30" i="5"/>
  <c r="N30" i="5" s="1"/>
  <c r="K310" i="5"/>
  <c r="K193" i="5"/>
  <c r="K173" i="5"/>
  <c r="K157" i="5"/>
  <c r="K141" i="5"/>
  <c r="K125" i="5"/>
  <c r="K109" i="5"/>
  <c r="K67" i="5"/>
  <c r="K51" i="5"/>
  <c r="K35" i="5"/>
  <c r="N35" i="5" s="1"/>
  <c r="K21" i="5"/>
  <c r="N21" i="5" s="1"/>
  <c r="K5" i="5"/>
  <c r="N5" i="5" s="1"/>
  <c r="K217" i="5"/>
  <c r="K187" i="5"/>
  <c r="K171" i="5"/>
  <c r="K155" i="5"/>
  <c r="K139" i="5"/>
  <c r="K123" i="5"/>
  <c r="K14" i="5"/>
  <c r="N14" i="5" s="1"/>
  <c r="K129" i="5"/>
  <c r="K161" i="5"/>
  <c r="K20" i="5"/>
  <c r="N20" i="5" s="1"/>
  <c r="K18" i="5"/>
  <c r="N18" i="5" s="1"/>
  <c r="K319" i="5"/>
  <c r="K303" i="5"/>
  <c r="K287" i="5"/>
  <c r="K271" i="5"/>
  <c r="K312" i="5"/>
  <c r="K296" i="5"/>
  <c r="K280" i="5"/>
  <c r="K321" i="5"/>
  <c r="K305" i="5"/>
  <c r="K289" i="5"/>
  <c r="K273" i="5"/>
  <c r="K253" i="5"/>
  <c r="K237" i="5"/>
  <c r="K226" i="5"/>
  <c r="K218" i="5"/>
  <c r="K210" i="5"/>
  <c r="K306" i="5"/>
  <c r="K260" i="5"/>
  <c r="K244" i="5"/>
  <c r="K290" i="5"/>
  <c r="K274" i="5"/>
  <c r="K258" i="5"/>
  <c r="K242" i="5"/>
  <c r="K231" i="5"/>
  <c r="K263" i="5"/>
  <c r="K221" i="5"/>
  <c r="K200" i="5"/>
  <c r="K192" i="5"/>
  <c r="K302" i="5"/>
  <c r="K240" i="5"/>
  <c r="K191" i="5"/>
  <c r="K175" i="5"/>
  <c r="K159" i="5"/>
  <c r="K143" i="5"/>
  <c r="K127" i="5"/>
  <c r="K111" i="5"/>
  <c r="K100" i="5"/>
  <c r="K92" i="5"/>
  <c r="K84" i="5"/>
  <c r="K76" i="5"/>
  <c r="K68" i="5"/>
  <c r="K60" i="5"/>
  <c r="K52" i="5"/>
  <c r="K44" i="5"/>
  <c r="K36" i="5"/>
  <c r="N36" i="5" s="1"/>
  <c r="K28" i="5"/>
  <c r="N28" i="5" s="1"/>
  <c r="K264" i="5"/>
  <c r="K182" i="5"/>
  <c r="K166" i="5"/>
  <c r="K150" i="5"/>
  <c r="K134" i="5"/>
  <c r="K118" i="5"/>
  <c r="K77" i="5"/>
  <c r="K63" i="5"/>
  <c r="K47" i="5"/>
  <c r="K31" i="5"/>
  <c r="N31" i="5" s="1"/>
  <c r="K17" i="5"/>
  <c r="N17" i="5" s="1"/>
  <c r="K294" i="5"/>
  <c r="K209" i="5"/>
  <c r="K180" i="5"/>
  <c r="K164" i="5"/>
  <c r="K148" i="5"/>
  <c r="K132" i="5"/>
  <c r="K116" i="5"/>
  <c r="K105" i="5"/>
  <c r="K97" i="5"/>
  <c r="K89" i="5"/>
  <c r="K81" i="5"/>
  <c r="K65" i="5"/>
  <c r="K49" i="5"/>
  <c r="K33" i="5"/>
  <c r="N33" i="5" s="1"/>
  <c r="K15" i="5"/>
  <c r="N15" i="5" s="1"/>
  <c r="K248" i="5"/>
  <c r="K8" i="5"/>
  <c r="N8" i="5" s="1"/>
  <c r="K130" i="5"/>
  <c r="K162" i="5"/>
  <c r="K137" i="5"/>
  <c r="K113" i="5"/>
  <c r="K315" i="5"/>
  <c r="K283" i="5"/>
  <c r="K308" i="5"/>
  <c r="K6" i="5"/>
  <c r="N6" i="5" s="1"/>
  <c r="K169" i="5"/>
  <c r="K325" i="5"/>
  <c r="K299" i="5"/>
  <c r="K324" i="5"/>
  <c r="K145" i="5"/>
  <c r="K311" i="5"/>
  <c r="K304" i="5"/>
  <c r="K272" i="5"/>
  <c r="K297" i="5"/>
  <c r="K261" i="5"/>
  <c r="K230" i="5"/>
  <c r="K214" i="5"/>
  <c r="K268" i="5"/>
  <c r="K236" i="5"/>
  <c r="K266" i="5"/>
  <c r="K234" i="5"/>
  <c r="K247" i="5"/>
  <c r="K196" i="5"/>
  <c r="K215" i="5"/>
  <c r="K183" i="5"/>
  <c r="K151" i="5"/>
  <c r="K119" i="5"/>
  <c r="K96" i="5"/>
  <c r="K80" i="5"/>
  <c r="K64" i="5"/>
  <c r="K48" i="5"/>
  <c r="K32" i="5"/>
  <c r="N32" i="5" s="1"/>
  <c r="K201" i="5"/>
  <c r="K158" i="5"/>
  <c r="K126" i="5"/>
  <c r="K71" i="5"/>
  <c r="K39" i="5"/>
  <c r="K7" i="5"/>
  <c r="N7" i="5" s="1"/>
  <c r="K195" i="5"/>
  <c r="K156" i="5"/>
  <c r="K124" i="5"/>
  <c r="K103" i="5"/>
  <c r="K93" i="5"/>
  <c r="K83" i="5"/>
  <c r="K61" i="5"/>
  <c r="K41" i="5"/>
  <c r="K19" i="5"/>
  <c r="N19" i="5" s="1"/>
  <c r="K197" i="5"/>
  <c r="K114" i="5"/>
  <c r="K154" i="5"/>
  <c r="K243" i="5"/>
  <c r="K223" i="5"/>
  <c r="K120" i="5"/>
  <c r="K66" i="5"/>
  <c r="K206" i="5"/>
  <c r="K75" i="5"/>
  <c r="K203" i="5"/>
  <c r="K107" i="5"/>
  <c r="K69" i="5"/>
  <c r="K3" i="5"/>
  <c r="N3" i="5" s="1"/>
  <c r="K146" i="5"/>
  <c r="K177" i="5"/>
  <c r="K295" i="5"/>
  <c r="K292" i="5"/>
  <c r="K317" i="5"/>
  <c r="K285" i="5"/>
  <c r="K246" i="5"/>
  <c r="K224" i="5"/>
  <c r="K208" i="5"/>
  <c r="K259" i="5"/>
  <c r="K286" i="5"/>
  <c r="K257" i="5"/>
  <c r="K229" i="5"/>
  <c r="K213" i="5"/>
  <c r="K190" i="5"/>
  <c r="K219" i="5"/>
  <c r="K168" i="5"/>
  <c r="K136" i="5"/>
  <c r="K106" i="5"/>
  <c r="K90" i="5"/>
  <c r="K74" i="5"/>
  <c r="K58" i="5"/>
  <c r="K42" i="5"/>
  <c r="K26" i="5"/>
  <c r="N26" i="5" s="1"/>
  <c r="K181" i="5"/>
  <c r="K149" i="5"/>
  <c r="K117" i="5"/>
  <c r="K59" i="5"/>
  <c r="K27" i="5"/>
  <c r="N27" i="5" s="1"/>
  <c r="K205" i="5"/>
  <c r="K179" i="5"/>
  <c r="K147" i="5"/>
  <c r="K115" i="5"/>
  <c r="K101" i="5"/>
  <c r="K91" i="5"/>
  <c r="K79" i="5"/>
  <c r="K57" i="5"/>
  <c r="K37" i="5"/>
  <c r="N37" i="5" s="1"/>
  <c r="K13" i="5"/>
  <c r="N13" i="5" s="1"/>
  <c r="K4" i="5"/>
  <c r="N4" i="5" s="1"/>
  <c r="K122" i="5"/>
  <c r="K170" i="5"/>
  <c r="K320" i="5"/>
  <c r="K276" i="5"/>
  <c r="K262" i="5"/>
  <c r="K216" i="5"/>
  <c r="K270" i="5"/>
  <c r="K255" i="5"/>
  <c r="K184" i="5"/>
  <c r="K82" i="5"/>
  <c r="K34" i="5"/>
  <c r="N34" i="5" s="1"/>
  <c r="K133" i="5"/>
  <c r="K43" i="5"/>
  <c r="K163" i="5"/>
  <c r="K95" i="5"/>
  <c r="K45" i="5"/>
  <c r="K16" i="5"/>
  <c r="N16" i="5" s="1"/>
  <c r="K2" i="5"/>
  <c r="N2" i="5" s="1"/>
  <c r="K279" i="5"/>
  <c r="K288" i="5"/>
  <c r="K313" i="5"/>
  <c r="K281" i="5"/>
  <c r="K245" i="5"/>
  <c r="K222" i="5"/>
  <c r="K322" i="5"/>
  <c r="K252" i="5"/>
  <c r="K282" i="5"/>
  <c r="K250" i="5"/>
  <c r="K227" i="5"/>
  <c r="K204" i="5"/>
  <c r="K188" i="5"/>
  <c r="K211" i="5"/>
  <c r="K167" i="5"/>
  <c r="K135" i="5"/>
  <c r="K104" i="5"/>
  <c r="K88" i="5"/>
  <c r="K72" i="5"/>
  <c r="K56" i="5"/>
  <c r="K40" i="5"/>
  <c r="K24" i="5"/>
  <c r="N24" i="5" s="1"/>
  <c r="K174" i="5"/>
  <c r="K142" i="5"/>
  <c r="K110" i="5"/>
  <c r="K55" i="5"/>
  <c r="K23" i="5"/>
  <c r="N23" i="5" s="1"/>
  <c r="K256" i="5"/>
  <c r="K172" i="5"/>
  <c r="K140" i="5"/>
  <c r="K108" i="5"/>
  <c r="K99" i="5"/>
  <c r="K87" i="5"/>
  <c r="K73" i="5"/>
  <c r="K53" i="5"/>
  <c r="K29" i="5"/>
  <c r="N29" i="5" s="1"/>
  <c r="K9" i="5"/>
  <c r="N9" i="5" s="1"/>
  <c r="K12" i="5"/>
  <c r="N12" i="5" s="1"/>
  <c r="K138" i="5"/>
  <c r="K178" i="5"/>
  <c r="K326" i="5"/>
  <c r="K301" i="5"/>
  <c r="K232" i="5"/>
  <c r="K298" i="5"/>
  <c r="K241" i="5"/>
  <c r="K198" i="5"/>
  <c r="K152" i="5"/>
  <c r="K98" i="5"/>
  <c r="K50" i="5"/>
  <c r="K165" i="5"/>
  <c r="K11" i="5"/>
  <c r="N11" i="5" s="1"/>
  <c r="K131" i="5"/>
  <c r="K85" i="5"/>
  <c r="K25" i="5"/>
  <c r="N25" i="5" s="1"/>
  <c r="K186" i="5"/>
  <c r="O165" i="5" l="1"/>
  <c r="N165" i="5"/>
  <c r="O12" i="5"/>
  <c r="O55" i="5"/>
  <c r="N55" i="5"/>
  <c r="O211" i="5"/>
  <c r="N211" i="5"/>
  <c r="O288" i="5"/>
  <c r="N288" i="5"/>
  <c r="O4" i="5"/>
  <c r="O147" i="5"/>
  <c r="N147" i="5"/>
  <c r="N90" i="5"/>
  <c r="O90" i="5"/>
  <c r="O292" i="5"/>
  <c r="N292" i="5"/>
  <c r="O197" i="5"/>
  <c r="N197" i="5"/>
  <c r="O156" i="5"/>
  <c r="N156" i="5"/>
  <c r="O215" i="5"/>
  <c r="N215" i="5"/>
  <c r="O304" i="5"/>
  <c r="N304" i="5"/>
  <c r="O308" i="5"/>
  <c r="N308" i="5"/>
  <c r="O248" i="5"/>
  <c r="N248" i="5"/>
  <c r="O105" i="5"/>
  <c r="N105" i="5"/>
  <c r="O77" i="5"/>
  <c r="N77" i="5"/>
  <c r="O68" i="5"/>
  <c r="N68" i="5"/>
  <c r="O302" i="5"/>
  <c r="N302" i="5"/>
  <c r="O306" i="5"/>
  <c r="N306" i="5"/>
  <c r="O312" i="5"/>
  <c r="N312" i="5"/>
  <c r="O129" i="5"/>
  <c r="N129" i="5"/>
  <c r="O67" i="5"/>
  <c r="N67" i="5"/>
  <c r="O62" i="5"/>
  <c r="N62" i="5"/>
  <c r="O207" i="5"/>
  <c r="N207" i="5"/>
  <c r="O267" i="5"/>
  <c r="N267" i="5"/>
  <c r="O293" i="5"/>
  <c r="N293" i="5"/>
  <c r="O153" i="5"/>
  <c r="N153" i="5"/>
  <c r="O9" i="5"/>
  <c r="O172" i="5"/>
  <c r="N172" i="5"/>
  <c r="O110" i="5"/>
  <c r="N110" i="5"/>
  <c r="O40" i="5"/>
  <c r="N40" i="5"/>
  <c r="O104" i="5"/>
  <c r="N104" i="5"/>
  <c r="O188" i="5"/>
  <c r="N188" i="5"/>
  <c r="N282" i="5"/>
  <c r="O282" i="5"/>
  <c r="O245" i="5"/>
  <c r="N245" i="5"/>
  <c r="O279" i="5"/>
  <c r="N279" i="5"/>
  <c r="O95" i="5"/>
  <c r="N95" i="5"/>
  <c r="O34" i="5"/>
  <c r="O270" i="5"/>
  <c r="N270" i="5"/>
  <c r="O320" i="5"/>
  <c r="N320" i="5"/>
  <c r="O13" i="5"/>
  <c r="O91" i="5"/>
  <c r="N91" i="5"/>
  <c r="O179" i="5"/>
  <c r="N179" i="5"/>
  <c r="O117" i="5"/>
  <c r="N117" i="5"/>
  <c r="N42" i="5"/>
  <c r="O42" i="5"/>
  <c r="N106" i="5"/>
  <c r="O106" i="5"/>
  <c r="O190" i="5"/>
  <c r="N190" i="5"/>
  <c r="O286" i="5"/>
  <c r="N286" i="5"/>
  <c r="O246" i="5"/>
  <c r="N246" i="5"/>
  <c r="O295" i="5"/>
  <c r="N295" i="5"/>
  <c r="O69" i="5"/>
  <c r="N69" i="5"/>
  <c r="O206" i="5"/>
  <c r="N206" i="5"/>
  <c r="O243" i="5"/>
  <c r="N243" i="5"/>
  <c r="O19" i="5"/>
  <c r="O93" i="5"/>
  <c r="N93" i="5"/>
  <c r="O195" i="5"/>
  <c r="N195" i="5"/>
  <c r="O126" i="5"/>
  <c r="N126" i="5"/>
  <c r="O48" i="5"/>
  <c r="N48" i="5"/>
  <c r="O119" i="5"/>
  <c r="N119" i="5"/>
  <c r="O196" i="5"/>
  <c r="N196" i="5"/>
  <c r="O236" i="5"/>
  <c r="N236" i="5"/>
  <c r="O261" i="5"/>
  <c r="N261" i="5"/>
  <c r="O311" i="5"/>
  <c r="N311" i="5"/>
  <c r="O325" i="5"/>
  <c r="N325" i="5"/>
  <c r="O283" i="5"/>
  <c r="N283" i="5"/>
  <c r="O162" i="5"/>
  <c r="N162" i="5"/>
  <c r="O15" i="5"/>
  <c r="O81" i="5"/>
  <c r="N81" i="5"/>
  <c r="O116" i="5"/>
  <c r="N116" i="5"/>
  <c r="O180" i="5"/>
  <c r="N180" i="5"/>
  <c r="O31" i="5"/>
  <c r="O118" i="5"/>
  <c r="N118" i="5"/>
  <c r="O182" i="5"/>
  <c r="N182" i="5"/>
  <c r="O44" i="5"/>
  <c r="N44" i="5"/>
  <c r="O76" i="5"/>
  <c r="N76" i="5"/>
  <c r="O111" i="5"/>
  <c r="N111" i="5"/>
  <c r="O175" i="5"/>
  <c r="N175" i="5"/>
  <c r="O192" i="5"/>
  <c r="N192" i="5"/>
  <c r="O231" i="5"/>
  <c r="N231" i="5"/>
  <c r="O290" i="5"/>
  <c r="N290" i="5"/>
  <c r="O210" i="5"/>
  <c r="N210" i="5"/>
  <c r="O253" i="5"/>
  <c r="N253" i="5"/>
  <c r="O321" i="5"/>
  <c r="N321" i="5"/>
  <c r="O271" i="5"/>
  <c r="N271" i="5"/>
  <c r="O18" i="5"/>
  <c r="O14" i="5"/>
  <c r="O171" i="5"/>
  <c r="N171" i="5"/>
  <c r="O21" i="5"/>
  <c r="O109" i="5"/>
  <c r="N109" i="5"/>
  <c r="O173" i="5"/>
  <c r="N173" i="5"/>
  <c r="O38" i="5"/>
  <c r="N38" i="5"/>
  <c r="O70" i="5"/>
  <c r="N70" i="5"/>
  <c r="O102" i="5"/>
  <c r="N102" i="5"/>
  <c r="O160" i="5"/>
  <c r="N160" i="5"/>
  <c r="O318" i="5"/>
  <c r="N318" i="5"/>
  <c r="O225" i="5"/>
  <c r="N225" i="5"/>
  <c r="O278" i="5"/>
  <c r="N278" i="5"/>
  <c r="O314" i="5"/>
  <c r="N314" i="5"/>
  <c r="O238" i="5"/>
  <c r="N238" i="5"/>
  <c r="O309" i="5"/>
  <c r="N309" i="5"/>
  <c r="O316" i="5"/>
  <c r="N316" i="5"/>
  <c r="N323" i="5"/>
  <c r="O323" i="5"/>
  <c r="O121" i="5"/>
  <c r="N121" i="5"/>
  <c r="O198" i="5"/>
  <c r="N198" i="5"/>
  <c r="O73" i="5"/>
  <c r="N73" i="5"/>
  <c r="O140" i="5"/>
  <c r="N140" i="5"/>
  <c r="O88" i="5"/>
  <c r="N88" i="5"/>
  <c r="O222" i="5"/>
  <c r="N222" i="5"/>
  <c r="O133" i="5"/>
  <c r="N133" i="5"/>
  <c r="O276" i="5"/>
  <c r="N276" i="5"/>
  <c r="O59" i="5"/>
  <c r="N59" i="5"/>
  <c r="O219" i="5"/>
  <c r="N219" i="5"/>
  <c r="O3" i="5"/>
  <c r="O223" i="5"/>
  <c r="N223" i="5"/>
  <c r="O71" i="5"/>
  <c r="N71" i="5"/>
  <c r="O96" i="5"/>
  <c r="N96" i="5"/>
  <c r="O230" i="5"/>
  <c r="N230" i="5"/>
  <c r="O137" i="5"/>
  <c r="N137" i="5"/>
  <c r="O65" i="5"/>
  <c r="N65" i="5"/>
  <c r="O164" i="5"/>
  <c r="N164" i="5"/>
  <c r="O166" i="5"/>
  <c r="N166" i="5"/>
  <c r="O100" i="5"/>
  <c r="N100" i="5"/>
  <c r="O263" i="5"/>
  <c r="N263" i="5"/>
  <c r="O237" i="5"/>
  <c r="N237" i="5"/>
  <c r="O5" i="5"/>
  <c r="O30" i="5"/>
  <c r="O144" i="5"/>
  <c r="N144" i="5"/>
  <c r="O265" i="5"/>
  <c r="N265" i="5"/>
  <c r="O228" i="5"/>
  <c r="N228" i="5"/>
  <c r="O307" i="5"/>
  <c r="N307" i="5"/>
  <c r="O50" i="5"/>
  <c r="N50" i="5"/>
  <c r="O326" i="5"/>
  <c r="N326" i="5"/>
  <c r="O131" i="5"/>
  <c r="N131" i="5"/>
  <c r="O98" i="5"/>
  <c r="N98" i="5"/>
  <c r="N298" i="5"/>
  <c r="O298" i="5"/>
  <c r="O178" i="5"/>
  <c r="N178" i="5"/>
  <c r="O29" i="5"/>
  <c r="O99" i="5"/>
  <c r="N99" i="5"/>
  <c r="O256" i="5"/>
  <c r="N256" i="5"/>
  <c r="O142" i="5"/>
  <c r="N142" i="5"/>
  <c r="O56" i="5"/>
  <c r="N56" i="5"/>
  <c r="O135" i="5"/>
  <c r="N135" i="5"/>
  <c r="O204" i="5"/>
  <c r="N204" i="5"/>
  <c r="O252" i="5"/>
  <c r="N252" i="5"/>
  <c r="O281" i="5"/>
  <c r="N281" i="5"/>
  <c r="O2" i="5"/>
  <c r="O163" i="5"/>
  <c r="N163" i="5"/>
  <c r="O82" i="5"/>
  <c r="N82" i="5"/>
  <c r="O216" i="5"/>
  <c r="N216" i="5"/>
  <c r="N170" i="5"/>
  <c r="O170" i="5"/>
  <c r="O37" i="5"/>
  <c r="O101" i="5"/>
  <c r="N101" i="5"/>
  <c r="O205" i="5"/>
  <c r="N205" i="5"/>
  <c r="O149" i="5"/>
  <c r="N149" i="5"/>
  <c r="O58" i="5"/>
  <c r="N58" i="5"/>
  <c r="O136" i="5"/>
  <c r="N136" i="5"/>
  <c r="O213" i="5"/>
  <c r="N213" i="5"/>
  <c r="O259" i="5"/>
  <c r="N259" i="5"/>
  <c r="O285" i="5"/>
  <c r="N285" i="5"/>
  <c r="O177" i="5"/>
  <c r="N177" i="5"/>
  <c r="O107" i="5"/>
  <c r="N107" i="5"/>
  <c r="O66" i="5"/>
  <c r="N66" i="5"/>
  <c r="N154" i="5"/>
  <c r="O154" i="5"/>
  <c r="O41" i="5"/>
  <c r="N41" i="5"/>
  <c r="O103" i="5"/>
  <c r="N103" i="5"/>
  <c r="O7" i="5"/>
  <c r="O158" i="5"/>
  <c r="N158" i="5"/>
  <c r="O64" i="5"/>
  <c r="N64" i="5"/>
  <c r="O151" i="5"/>
  <c r="N151" i="5"/>
  <c r="O247" i="5"/>
  <c r="N247" i="5"/>
  <c r="O268" i="5"/>
  <c r="N268" i="5"/>
  <c r="O297" i="5"/>
  <c r="N297" i="5"/>
  <c r="O145" i="5"/>
  <c r="N145" i="5"/>
  <c r="O169" i="5"/>
  <c r="N169" i="5"/>
  <c r="O315" i="5"/>
  <c r="N315" i="5"/>
  <c r="O130" i="5"/>
  <c r="N130" i="5"/>
  <c r="O33" i="5"/>
  <c r="O89" i="5"/>
  <c r="N89" i="5"/>
  <c r="O132" i="5"/>
  <c r="N132" i="5"/>
  <c r="O209" i="5"/>
  <c r="N209" i="5"/>
  <c r="O47" i="5"/>
  <c r="N47" i="5"/>
  <c r="O134" i="5"/>
  <c r="N134" i="5"/>
  <c r="O264" i="5"/>
  <c r="N264" i="5"/>
  <c r="O52" i="5"/>
  <c r="N52" i="5"/>
  <c r="O84" i="5"/>
  <c r="N84" i="5"/>
  <c r="O127" i="5"/>
  <c r="N127" i="5"/>
  <c r="O191" i="5"/>
  <c r="N191" i="5"/>
  <c r="O200" i="5"/>
  <c r="N200" i="5"/>
  <c r="O242" i="5"/>
  <c r="N242" i="5"/>
  <c r="O244" i="5"/>
  <c r="N244" i="5"/>
  <c r="N218" i="5"/>
  <c r="O218" i="5"/>
  <c r="O273" i="5"/>
  <c r="N273" i="5"/>
  <c r="O280" i="5"/>
  <c r="N280" i="5"/>
  <c r="O287" i="5"/>
  <c r="N287" i="5"/>
  <c r="O20" i="5"/>
  <c r="O123" i="5"/>
  <c r="N123" i="5"/>
  <c r="O187" i="5"/>
  <c r="N187" i="5"/>
  <c r="O35" i="5"/>
  <c r="O125" i="5"/>
  <c r="N125" i="5"/>
  <c r="O193" i="5"/>
  <c r="N193" i="5"/>
  <c r="O46" i="5"/>
  <c r="N46" i="5"/>
  <c r="O78" i="5"/>
  <c r="N78" i="5"/>
  <c r="O112" i="5"/>
  <c r="N112" i="5"/>
  <c r="O176" i="5"/>
  <c r="N176" i="5"/>
  <c r="O194" i="5"/>
  <c r="N194" i="5"/>
  <c r="O233" i="5"/>
  <c r="N233" i="5"/>
  <c r="O235" i="5"/>
  <c r="N235" i="5"/>
  <c r="O212" i="5"/>
  <c r="N212" i="5"/>
  <c r="O254" i="5"/>
  <c r="N254" i="5"/>
  <c r="O269" i="5"/>
  <c r="N269" i="5"/>
  <c r="O275" i="5"/>
  <c r="N275" i="5"/>
  <c r="O10" i="5"/>
  <c r="O22" i="5"/>
  <c r="O25" i="5"/>
  <c r="O301" i="5"/>
  <c r="N301" i="5"/>
  <c r="O24" i="5"/>
  <c r="O250" i="5"/>
  <c r="N250" i="5"/>
  <c r="O45" i="5"/>
  <c r="N45" i="5"/>
  <c r="O255" i="5"/>
  <c r="N255" i="5"/>
  <c r="O79" i="5"/>
  <c r="N79" i="5"/>
  <c r="O26" i="5"/>
  <c r="O257" i="5"/>
  <c r="N257" i="5"/>
  <c r="O224" i="5"/>
  <c r="N224" i="5"/>
  <c r="O75" i="5"/>
  <c r="N75" i="5"/>
  <c r="O83" i="5"/>
  <c r="N83" i="5"/>
  <c r="O32" i="5"/>
  <c r="N266" i="5"/>
  <c r="O266" i="5"/>
  <c r="O299" i="5"/>
  <c r="N299" i="5"/>
  <c r="O17" i="5"/>
  <c r="O36" i="5"/>
  <c r="O159" i="5"/>
  <c r="N159" i="5"/>
  <c r="O274" i="5"/>
  <c r="N274" i="5"/>
  <c r="O305" i="5"/>
  <c r="N305" i="5"/>
  <c r="O319" i="5"/>
  <c r="N319" i="5"/>
  <c r="O155" i="5"/>
  <c r="N155" i="5"/>
  <c r="O157" i="5"/>
  <c r="N157" i="5"/>
  <c r="O94" i="5"/>
  <c r="N94" i="5"/>
  <c r="O239" i="5"/>
  <c r="N239" i="5"/>
  <c r="O300" i="5"/>
  <c r="N300" i="5"/>
  <c r="O85" i="5"/>
  <c r="N85" i="5"/>
  <c r="O241" i="5"/>
  <c r="N241" i="5"/>
  <c r="O87" i="5"/>
  <c r="N87" i="5"/>
  <c r="O186" i="5"/>
  <c r="N186" i="5"/>
  <c r="O11" i="5"/>
  <c r="O152" i="5"/>
  <c r="N152" i="5"/>
  <c r="O232" i="5"/>
  <c r="N232" i="5"/>
  <c r="O138" i="5"/>
  <c r="N138" i="5"/>
  <c r="O53" i="5"/>
  <c r="N53" i="5"/>
  <c r="O108" i="5"/>
  <c r="N108" i="5"/>
  <c r="O23" i="5"/>
  <c r="O174" i="5"/>
  <c r="N174" i="5"/>
  <c r="O72" i="5"/>
  <c r="N72" i="5"/>
  <c r="O167" i="5"/>
  <c r="N167" i="5"/>
  <c r="O227" i="5"/>
  <c r="N227" i="5"/>
  <c r="O322" i="5"/>
  <c r="N322" i="5"/>
  <c r="O313" i="5"/>
  <c r="N313" i="5"/>
  <c r="O16" i="5"/>
  <c r="O43" i="5"/>
  <c r="N43" i="5"/>
  <c r="O184" i="5"/>
  <c r="N184" i="5"/>
  <c r="O262" i="5"/>
  <c r="N262" i="5"/>
  <c r="O122" i="5"/>
  <c r="N122" i="5"/>
  <c r="O57" i="5"/>
  <c r="N57" i="5"/>
  <c r="O115" i="5"/>
  <c r="N115" i="5"/>
  <c r="O27" i="5"/>
  <c r="O181" i="5"/>
  <c r="N181" i="5"/>
  <c r="O74" i="5"/>
  <c r="N74" i="5"/>
  <c r="O168" i="5"/>
  <c r="N168" i="5"/>
  <c r="O229" i="5"/>
  <c r="N229" i="5"/>
  <c r="O208" i="5"/>
  <c r="N208" i="5"/>
  <c r="O317" i="5"/>
  <c r="N317" i="5"/>
  <c r="O146" i="5"/>
  <c r="N146" i="5"/>
  <c r="O203" i="5"/>
  <c r="N203" i="5"/>
  <c r="O120" i="5"/>
  <c r="N120" i="5"/>
  <c r="O114" i="5"/>
  <c r="N114" i="5"/>
  <c r="O61" i="5"/>
  <c r="N61" i="5"/>
  <c r="O124" i="5"/>
  <c r="N124" i="5"/>
  <c r="O39" i="5"/>
  <c r="N39" i="5"/>
  <c r="O201" i="5"/>
  <c r="N201" i="5"/>
  <c r="O80" i="5"/>
  <c r="N80" i="5"/>
  <c r="O183" i="5"/>
  <c r="N183" i="5"/>
  <c r="N234" i="5"/>
  <c r="O234" i="5"/>
  <c r="O214" i="5"/>
  <c r="N214" i="5"/>
  <c r="O272" i="5"/>
  <c r="N272" i="5"/>
  <c r="O324" i="5"/>
  <c r="N324" i="5"/>
  <c r="O6" i="5"/>
  <c r="O113" i="5"/>
  <c r="N113" i="5"/>
  <c r="O8" i="5"/>
  <c r="O49" i="5"/>
  <c r="N49" i="5"/>
  <c r="O97" i="5"/>
  <c r="N97" i="5"/>
  <c r="O148" i="5"/>
  <c r="N148" i="5"/>
  <c r="O294" i="5"/>
  <c r="N294" i="5"/>
  <c r="O63" i="5"/>
  <c r="N63" i="5"/>
  <c r="O150" i="5"/>
  <c r="N150" i="5"/>
  <c r="O28" i="5"/>
  <c r="O60" i="5"/>
  <c r="N60" i="5"/>
  <c r="O92" i="5"/>
  <c r="N92" i="5"/>
  <c r="O143" i="5"/>
  <c r="N143" i="5"/>
  <c r="O240" i="5"/>
  <c r="N240" i="5"/>
  <c r="O221" i="5"/>
  <c r="N221" i="5"/>
  <c r="O258" i="5"/>
  <c r="N258" i="5"/>
  <c r="O260" i="5"/>
  <c r="N260" i="5"/>
  <c r="O226" i="5"/>
  <c r="N226" i="5"/>
  <c r="O289" i="5"/>
  <c r="N289" i="5"/>
  <c r="O296" i="5"/>
  <c r="N296" i="5"/>
  <c r="O303" i="5"/>
  <c r="N303" i="5"/>
  <c r="O161" i="5"/>
  <c r="N161" i="5"/>
  <c r="O139" i="5"/>
  <c r="N139" i="5"/>
  <c r="O217" i="5"/>
  <c r="N217" i="5"/>
  <c r="O51" i="5"/>
  <c r="N51" i="5"/>
  <c r="O141" i="5"/>
  <c r="N141" i="5"/>
  <c r="O310" i="5"/>
  <c r="N310" i="5"/>
  <c r="O54" i="5"/>
  <c r="N54" i="5"/>
  <c r="O86" i="5"/>
  <c r="N86" i="5"/>
  <c r="O128" i="5"/>
  <c r="N128" i="5"/>
  <c r="O199" i="5"/>
  <c r="N199" i="5"/>
  <c r="O202" i="5"/>
  <c r="N202" i="5"/>
  <c r="O249" i="5"/>
  <c r="N249" i="5"/>
  <c r="O251" i="5"/>
  <c r="N251" i="5"/>
  <c r="O220" i="5"/>
  <c r="N220" i="5"/>
  <c r="O277" i="5"/>
  <c r="N277" i="5"/>
  <c r="O284" i="5"/>
  <c r="N284" i="5"/>
  <c r="O291" i="5"/>
  <c r="N291" i="5"/>
  <c r="O185" i="5"/>
  <c r="N185" i="5"/>
  <c r="O189" i="5"/>
  <c r="N189" i="5"/>
  <c r="M2" i="5"/>
  <c r="M186" i="5"/>
  <c r="L186" i="5"/>
  <c r="M138" i="5"/>
  <c r="L138" i="5"/>
  <c r="M174" i="5"/>
  <c r="L174" i="5"/>
  <c r="M167" i="5"/>
  <c r="L167" i="5"/>
  <c r="M25" i="5"/>
  <c r="L25" i="5"/>
  <c r="M165" i="5"/>
  <c r="L165" i="5"/>
  <c r="M198" i="5"/>
  <c r="L198" i="5"/>
  <c r="M301" i="5"/>
  <c r="L301" i="5"/>
  <c r="M12" i="5"/>
  <c r="L12" i="5"/>
  <c r="M73" i="5"/>
  <c r="L73" i="5"/>
  <c r="M140" i="5"/>
  <c r="L140" i="5"/>
  <c r="M55" i="5"/>
  <c r="L55" i="5"/>
  <c r="M24" i="5"/>
  <c r="L24" i="5"/>
  <c r="M88" i="5"/>
  <c r="L88" i="5"/>
  <c r="M211" i="5"/>
  <c r="L211" i="5"/>
  <c r="M250" i="5"/>
  <c r="L250" i="5"/>
  <c r="M222" i="5"/>
  <c r="L222" i="5"/>
  <c r="M288" i="5"/>
  <c r="L288" i="5"/>
  <c r="M45" i="5"/>
  <c r="L45" i="5"/>
  <c r="M133" i="5"/>
  <c r="L133" i="5"/>
  <c r="M255" i="5"/>
  <c r="L255" i="5"/>
  <c r="M276" i="5"/>
  <c r="L276" i="5"/>
  <c r="M4" i="5"/>
  <c r="L4" i="5"/>
  <c r="M79" i="5"/>
  <c r="L79" i="5"/>
  <c r="M147" i="5"/>
  <c r="L147" i="5"/>
  <c r="M59" i="5"/>
  <c r="L59" i="5"/>
  <c r="M26" i="5"/>
  <c r="L26" i="5"/>
  <c r="M90" i="5"/>
  <c r="L90" i="5"/>
  <c r="M219" i="5"/>
  <c r="L219" i="5"/>
  <c r="M257" i="5"/>
  <c r="L257" i="5"/>
  <c r="M224" i="5"/>
  <c r="L224" i="5"/>
  <c r="M292" i="5"/>
  <c r="L292" i="5"/>
  <c r="M3" i="5"/>
  <c r="L3" i="5"/>
  <c r="M75" i="5"/>
  <c r="L75" i="5"/>
  <c r="M223" i="5"/>
  <c r="L223" i="5"/>
  <c r="M197" i="5"/>
  <c r="L197" i="5"/>
  <c r="M83" i="5"/>
  <c r="L83" i="5"/>
  <c r="M156" i="5"/>
  <c r="L156" i="5"/>
  <c r="M71" i="5"/>
  <c r="L71" i="5"/>
  <c r="M32" i="5"/>
  <c r="L32" i="5"/>
  <c r="M96" i="5"/>
  <c r="L96" i="5"/>
  <c r="M215" i="5"/>
  <c r="L215" i="5"/>
  <c r="M266" i="5"/>
  <c r="L266" i="5"/>
  <c r="M230" i="5"/>
  <c r="L230" i="5"/>
  <c r="M304" i="5"/>
  <c r="L304" i="5"/>
  <c r="M299" i="5"/>
  <c r="L299" i="5"/>
  <c r="M308" i="5"/>
  <c r="L308" i="5"/>
  <c r="M137" i="5"/>
  <c r="L137" i="5"/>
  <c r="M248" i="5"/>
  <c r="L248" i="5"/>
  <c r="M65" i="5"/>
  <c r="L65" i="5"/>
  <c r="M105" i="5"/>
  <c r="L105" i="5"/>
  <c r="M164" i="5"/>
  <c r="L164" i="5"/>
  <c r="M17" i="5"/>
  <c r="L17" i="5"/>
  <c r="M77" i="5"/>
  <c r="L77" i="5"/>
  <c r="M166" i="5"/>
  <c r="L166" i="5"/>
  <c r="M36" i="5"/>
  <c r="L36" i="5"/>
  <c r="M68" i="5"/>
  <c r="L68" i="5"/>
  <c r="M100" i="5"/>
  <c r="L100" i="5"/>
  <c r="M159" i="5"/>
  <c r="L159" i="5"/>
  <c r="M302" i="5"/>
  <c r="L302" i="5"/>
  <c r="M263" i="5"/>
  <c r="L263" i="5"/>
  <c r="M274" i="5"/>
  <c r="L274" i="5"/>
  <c r="M306" i="5"/>
  <c r="L306" i="5"/>
  <c r="M237" i="5"/>
  <c r="L237" i="5"/>
  <c r="M305" i="5"/>
  <c r="L305" i="5"/>
  <c r="M312" i="5"/>
  <c r="L312" i="5"/>
  <c r="M319" i="5"/>
  <c r="L319" i="5"/>
  <c r="M129" i="5"/>
  <c r="L129" i="5"/>
  <c r="M155" i="5"/>
  <c r="L155" i="5"/>
  <c r="M5" i="5"/>
  <c r="L5" i="5"/>
  <c r="M67" i="5"/>
  <c r="L67" i="5"/>
  <c r="M157" i="5"/>
  <c r="L157" i="5"/>
  <c r="M30" i="5"/>
  <c r="L30" i="5"/>
  <c r="M62" i="5"/>
  <c r="L62" i="5"/>
  <c r="M94" i="5"/>
  <c r="L94" i="5"/>
  <c r="M144" i="5"/>
  <c r="L144" i="5"/>
  <c r="M207" i="5"/>
  <c r="L207" i="5"/>
  <c r="M239" i="5"/>
  <c r="L239" i="5"/>
  <c r="M265" i="5"/>
  <c r="L265" i="5"/>
  <c r="M267" i="5"/>
  <c r="L267" i="5"/>
  <c r="M228" i="5"/>
  <c r="L228" i="5"/>
  <c r="M293" i="5"/>
  <c r="L293" i="5"/>
  <c r="M300" i="5"/>
  <c r="L300" i="5"/>
  <c r="M307" i="5"/>
  <c r="L307" i="5"/>
  <c r="M153" i="5"/>
  <c r="L153" i="5"/>
  <c r="M152" i="5"/>
  <c r="L152" i="5"/>
  <c r="M53" i="5"/>
  <c r="L53" i="5"/>
  <c r="M85" i="5"/>
  <c r="L85" i="5"/>
  <c r="M241" i="5"/>
  <c r="L241" i="5"/>
  <c r="M9" i="5"/>
  <c r="L9" i="5"/>
  <c r="M87" i="5"/>
  <c r="L87" i="5"/>
  <c r="M172" i="5"/>
  <c r="L172" i="5"/>
  <c r="M110" i="5"/>
  <c r="L110" i="5"/>
  <c r="M40" i="5"/>
  <c r="L40" i="5"/>
  <c r="M104" i="5"/>
  <c r="L104" i="5"/>
  <c r="M188" i="5"/>
  <c r="L188" i="5"/>
  <c r="M282" i="5"/>
  <c r="L282" i="5"/>
  <c r="M245" i="5"/>
  <c r="L245" i="5"/>
  <c r="M279" i="5"/>
  <c r="L279" i="5"/>
  <c r="M95" i="5"/>
  <c r="L95" i="5"/>
  <c r="M34" i="5"/>
  <c r="L34" i="5"/>
  <c r="M270" i="5"/>
  <c r="L270" i="5"/>
  <c r="M320" i="5"/>
  <c r="L320" i="5"/>
  <c r="M13" i="5"/>
  <c r="L13" i="5"/>
  <c r="M91" i="5"/>
  <c r="L91" i="5"/>
  <c r="M179" i="5"/>
  <c r="L179" i="5"/>
  <c r="M117" i="5"/>
  <c r="L117" i="5"/>
  <c r="M42" i="5"/>
  <c r="L42" i="5"/>
  <c r="M106" i="5"/>
  <c r="L106" i="5"/>
  <c r="M190" i="5"/>
  <c r="L190" i="5"/>
  <c r="M286" i="5"/>
  <c r="L286" i="5"/>
  <c r="M246" i="5"/>
  <c r="L246" i="5"/>
  <c r="M295" i="5"/>
  <c r="L295" i="5"/>
  <c r="M69" i="5"/>
  <c r="L69" i="5"/>
  <c r="M206" i="5"/>
  <c r="L206" i="5"/>
  <c r="M243" i="5"/>
  <c r="L243" i="5"/>
  <c r="M19" i="5"/>
  <c r="L19" i="5"/>
  <c r="M93" i="5"/>
  <c r="L93" i="5"/>
  <c r="M195" i="5"/>
  <c r="L195" i="5"/>
  <c r="M126" i="5"/>
  <c r="L126" i="5"/>
  <c r="M48" i="5"/>
  <c r="L48" i="5"/>
  <c r="M119" i="5"/>
  <c r="L119" i="5"/>
  <c r="M196" i="5"/>
  <c r="L196" i="5"/>
  <c r="M236" i="5"/>
  <c r="L236" i="5"/>
  <c r="M261" i="5"/>
  <c r="L261" i="5"/>
  <c r="M311" i="5"/>
  <c r="L311" i="5"/>
  <c r="M325" i="5"/>
  <c r="L325" i="5"/>
  <c r="M283" i="5"/>
  <c r="L283" i="5"/>
  <c r="M162" i="5"/>
  <c r="L162" i="5"/>
  <c r="M15" i="5"/>
  <c r="L15" i="5"/>
  <c r="M81" i="5"/>
  <c r="L81" i="5"/>
  <c r="M116" i="5"/>
  <c r="L116" i="5"/>
  <c r="M180" i="5"/>
  <c r="L180" i="5"/>
  <c r="M31" i="5"/>
  <c r="L31" i="5"/>
  <c r="M118" i="5"/>
  <c r="L118" i="5"/>
  <c r="M182" i="5"/>
  <c r="L182" i="5"/>
  <c r="M44" i="5"/>
  <c r="L44" i="5"/>
  <c r="M76" i="5"/>
  <c r="L76" i="5"/>
  <c r="M111" i="5"/>
  <c r="L111" i="5"/>
  <c r="M175" i="5"/>
  <c r="L175" i="5"/>
  <c r="M192" i="5"/>
  <c r="L192" i="5"/>
  <c r="M231" i="5"/>
  <c r="L231" i="5"/>
  <c r="M290" i="5"/>
  <c r="L290" i="5"/>
  <c r="M210" i="5"/>
  <c r="L210" i="5"/>
  <c r="M253" i="5"/>
  <c r="L253" i="5"/>
  <c r="M321" i="5"/>
  <c r="L321" i="5"/>
  <c r="M271" i="5"/>
  <c r="L271" i="5"/>
  <c r="M18" i="5"/>
  <c r="L18" i="5"/>
  <c r="M14" i="5"/>
  <c r="L14" i="5"/>
  <c r="M171" i="5"/>
  <c r="L171" i="5"/>
  <c r="M21" i="5"/>
  <c r="L21" i="5"/>
  <c r="M109" i="5"/>
  <c r="L109" i="5"/>
  <c r="M173" i="5"/>
  <c r="L173" i="5"/>
  <c r="M38" i="5"/>
  <c r="L38" i="5"/>
  <c r="M70" i="5"/>
  <c r="L70" i="5"/>
  <c r="M102" i="5"/>
  <c r="L102" i="5"/>
  <c r="M160" i="5"/>
  <c r="L160" i="5"/>
  <c r="M318" i="5"/>
  <c r="L318" i="5"/>
  <c r="M225" i="5"/>
  <c r="L225" i="5"/>
  <c r="M278" i="5"/>
  <c r="L278" i="5"/>
  <c r="M314" i="5"/>
  <c r="L314" i="5"/>
  <c r="M238" i="5"/>
  <c r="L238" i="5"/>
  <c r="M309" i="5"/>
  <c r="L309" i="5"/>
  <c r="M316" i="5"/>
  <c r="L316" i="5"/>
  <c r="M323" i="5"/>
  <c r="L323" i="5"/>
  <c r="M121" i="5"/>
  <c r="L121" i="5"/>
  <c r="M11" i="5"/>
  <c r="L11" i="5"/>
  <c r="M23" i="5"/>
  <c r="L23" i="5"/>
  <c r="M50" i="5"/>
  <c r="L50" i="5"/>
  <c r="M326" i="5"/>
  <c r="L326" i="5"/>
  <c r="M131" i="5"/>
  <c r="L131" i="5"/>
  <c r="M98" i="5"/>
  <c r="L98" i="5"/>
  <c r="M298" i="5"/>
  <c r="L298" i="5"/>
  <c r="M178" i="5"/>
  <c r="L178" i="5"/>
  <c r="M29" i="5"/>
  <c r="L29" i="5"/>
  <c r="M99" i="5"/>
  <c r="L99" i="5"/>
  <c r="M256" i="5"/>
  <c r="L256" i="5"/>
  <c r="M142" i="5"/>
  <c r="L142" i="5"/>
  <c r="M56" i="5"/>
  <c r="L56" i="5"/>
  <c r="M135" i="5"/>
  <c r="L135" i="5"/>
  <c r="M204" i="5"/>
  <c r="L204" i="5"/>
  <c r="M252" i="5"/>
  <c r="L252" i="5"/>
  <c r="M281" i="5"/>
  <c r="L281" i="5"/>
  <c r="L2" i="5"/>
  <c r="M163" i="5"/>
  <c r="L163" i="5"/>
  <c r="M82" i="5"/>
  <c r="L82" i="5"/>
  <c r="M216" i="5"/>
  <c r="L216" i="5"/>
  <c r="M170" i="5"/>
  <c r="L170" i="5"/>
  <c r="M37" i="5"/>
  <c r="L37" i="5"/>
  <c r="M101" i="5"/>
  <c r="L101" i="5"/>
  <c r="M205" i="5"/>
  <c r="L205" i="5"/>
  <c r="M149" i="5"/>
  <c r="L149" i="5"/>
  <c r="M58" i="5"/>
  <c r="L58" i="5"/>
  <c r="M136" i="5"/>
  <c r="L136" i="5"/>
  <c r="M213" i="5"/>
  <c r="L213" i="5"/>
  <c r="M259" i="5"/>
  <c r="L259" i="5"/>
  <c r="M285" i="5"/>
  <c r="L285" i="5"/>
  <c r="M177" i="5"/>
  <c r="L177" i="5"/>
  <c r="M107" i="5"/>
  <c r="L107" i="5"/>
  <c r="M66" i="5"/>
  <c r="L66" i="5"/>
  <c r="M154" i="5"/>
  <c r="L154" i="5"/>
  <c r="M41" i="5"/>
  <c r="L41" i="5"/>
  <c r="M103" i="5"/>
  <c r="L103" i="5"/>
  <c r="M7" i="5"/>
  <c r="L7" i="5"/>
  <c r="M158" i="5"/>
  <c r="L158" i="5"/>
  <c r="M64" i="5"/>
  <c r="L64" i="5"/>
  <c r="M151" i="5"/>
  <c r="L151" i="5"/>
  <c r="M247" i="5"/>
  <c r="L247" i="5"/>
  <c r="M268" i="5"/>
  <c r="L268" i="5"/>
  <c r="M297" i="5"/>
  <c r="L297" i="5"/>
  <c r="M145" i="5"/>
  <c r="L145" i="5"/>
  <c r="M169" i="5"/>
  <c r="L169" i="5"/>
  <c r="M315" i="5"/>
  <c r="L315" i="5"/>
  <c r="M130" i="5"/>
  <c r="L130" i="5"/>
  <c r="M33" i="5"/>
  <c r="L33" i="5"/>
  <c r="M89" i="5"/>
  <c r="L89" i="5"/>
  <c r="M132" i="5"/>
  <c r="L132" i="5"/>
  <c r="M209" i="5"/>
  <c r="L209" i="5"/>
  <c r="M47" i="5"/>
  <c r="L47" i="5"/>
  <c r="M134" i="5"/>
  <c r="L134" i="5"/>
  <c r="M264" i="5"/>
  <c r="L264" i="5"/>
  <c r="M52" i="5"/>
  <c r="L52" i="5"/>
  <c r="M84" i="5"/>
  <c r="L84" i="5"/>
  <c r="M127" i="5"/>
  <c r="L127" i="5"/>
  <c r="M191" i="5"/>
  <c r="L191" i="5"/>
  <c r="M200" i="5"/>
  <c r="L200" i="5"/>
  <c r="M242" i="5"/>
  <c r="L242" i="5"/>
  <c r="M244" i="5"/>
  <c r="L244" i="5"/>
  <c r="M218" i="5"/>
  <c r="L218" i="5"/>
  <c r="M273" i="5"/>
  <c r="L273" i="5"/>
  <c r="M280" i="5"/>
  <c r="L280" i="5"/>
  <c r="M287" i="5"/>
  <c r="L287" i="5"/>
  <c r="M20" i="5"/>
  <c r="L20" i="5"/>
  <c r="M123" i="5"/>
  <c r="L123" i="5"/>
  <c r="M187" i="5"/>
  <c r="L187" i="5"/>
  <c r="M35" i="5"/>
  <c r="L35" i="5"/>
  <c r="M125" i="5"/>
  <c r="L125" i="5"/>
  <c r="M193" i="5"/>
  <c r="L193" i="5"/>
  <c r="M46" i="5"/>
  <c r="L46" i="5"/>
  <c r="M78" i="5"/>
  <c r="L78" i="5"/>
  <c r="M112" i="5"/>
  <c r="L112" i="5"/>
  <c r="M176" i="5"/>
  <c r="L176" i="5"/>
  <c r="M194" i="5"/>
  <c r="L194" i="5"/>
  <c r="M233" i="5"/>
  <c r="L233" i="5"/>
  <c r="M235" i="5"/>
  <c r="L235" i="5"/>
  <c r="M212" i="5"/>
  <c r="L212" i="5"/>
  <c r="M254" i="5"/>
  <c r="L254" i="5"/>
  <c r="M269" i="5"/>
  <c r="L269" i="5"/>
  <c r="M275" i="5"/>
  <c r="L275" i="5"/>
  <c r="M10" i="5"/>
  <c r="L10" i="5"/>
  <c r="M22" i="5"/>
  <c r="L22" i="5"/>
  <c r="M232" i="5"/>
  <c r="L232" i="5"/>
  <c r="M108" i="5"/>
  <c r="L108" i="5"/>
  <c r="M72" i="5"/>
  <c r="L72" i="5"/>
  <c r="M227" i="5"/>
  <c r="L227" i="5"/>
  <c r="M322" i="5"/>
  <c r="L322" i="5"/>
  <c r="M313" i="5"/>
  <c r="L313" i="5"/>
  <c r="M16" i="5"/>
  <c r="L16" i="5"/>
  <c r="M43" i="5"/>
  <c r="L43" i="5"/>
  <c r="M184" i="5"/>
  <c r="L184" i="5"/>
  <c r="M262" i="5"/>
  <c r="L262" i="5"/>
  <c r="M122" i="5"/>
  <c r="L122" i="5"/>
  <c r="M57" i="5"/>
  <c r="L57" i="5"/>
  <c r="M115" i="5"/>
  <c r="L115" i="5"/>
  <c r="M27" i="5"/>
  <c r="L27" i="5"/>
  <c r="M181" i="5"/>
  <c r="L181" i="5"/>
  <c r="M74" i="5"/>
  <c r="L74" i="5"/>
  <c r="M168" i="5"/>
  <c r="L168" i="5"/>
  <c r="M229" i="5"/>
  <c r="L229" i="5"/>
  <c r="M208" i="5"/>
  <c r="L208" i="5"/>
  <c r="M317" i="5"/>
  <c r="L317" i="5"/>
  <c r="M146" i="5"/>
  <c r="L146" i="5"/>
  <c r="M203" i="5"/>
  <c r="L203" i="5"/>
  <c r="M120" i="5"/>
  <c r="L120" i="5"/>
  <c r="M114" i="5"/>
  <c r="L114" i="5"/>
  <c r="M61" i="5"/>
  <c r="L61" i="5"/>
  <c r="M124" i="5"/>
  <c r="L124" i="5"/>
  <c r="M39" i="5"/>
  <c r="L39" i="5"/>
  <c r="M201" i="5"/>
  <c r="L201" i="5"/>
  <c r="M80" i="5"/>
  <c r="L80" i="5"/>
  <c r="M183" i="5"/>
  <c r="L183" i="5"/>
  <c r="M234" i="5"/>
  <c r="L234" i="5"/>
  <c r="M214" i="5"/>
  <c r="L214" i="5"/>
  <c r="M272" i="5"/>
  <c r="L272" i="5"/>
  <c r="M324" i="5"/>
  <c r="L324" i="5"/>
  <c r="M6" i="5"/>
  <c r="D15" i="14" s="1"/>
  <c r="L6" i="5"/>
  <c r="M113" i="5"/>
  <c r="L113" i="5"/>
  <c r="M8" i="5"/>
  <c r="E8" i="14" s="1"/>
  <c r="L8" i="5"/>
  <c r="M49" i="5"/>
  <c r="L49" i="5"/>
  <c r="M97" i="5"/>
  <c r="L97" i="5"/>
  <c r="M148" i="5"/>
  <c r="L148" i="5"/>
  <c r="M294" i="5"/>
  <c r="L294" i="5"/>
  <c r="M63" i="5"/>
  <c r="L63" i="5"/>
  <c r="M150" i="5"/>
  <c r="L150" i="5"/>
  <c r="M28" i="5"/>
  <c r="L28" i="5"/>
  <c r="M60" i="5"/>
  <c r="L60" i="5"/>
  <c r="M92" i="5"/>
  <c r="L92" i="5"/>
  <c r="M143" i="5"/>
  <c r="L143" i="5"/>
  <c r="M240" i="5"/>
  <c r="L240" i="5"/>
  <c r="M221" i="5"/>
  <c r="L221" i="5"/>
  <c r="M258" i="5"/>
  <c r="L258" i="5"/>
  <c r="M260" i="5"/>
  <c r="L260" i="5"/>
  <c r="M226" i="5"/>
  <c r="L226" i="5"/>
  <c r="M289" i="5"/>
  <c r="L289" i="5"/>
  <c r="M296" i="5"/>
  <c r="L296" i="5"/>
  <c r="M303" i="5"/>
  <c r="L303" i="5"/>
  <c r="M161" i="5"/>
  <c r="L161" i="5"/>
  <c r="M139" i="5"/>
  <c r="L139" i="5"/>
  <c r="M217" i="5"/>
  <c r="L217" i="5"/>
  <c r="M51" i="5"/>
  <c r="E10" i="14" s="1"/>
  <c r="L51" i="5"/>
  <c r="M141" i="5"/>
  <c r="L141" i="5"/>
  <c r="M310" i="5"/>
  <c r="L310" i="5"/>
  <c r="M54" i="5"/>
  <c r="L54" i="5"/>
  <c r="M86" i="5"/>
  <c r="L86" i="5"/>
  <c r="M128" i="5"/>
  <c r="L128" i="5"/>
  <c r="M199" i="5"/>
  <c r="L199" i="5"/>
  <c r="M202" i="5"/>
  <c r="L202" i="5"/>
  <c r="M249" i="5"/>
  <c r="L249" i="5"/>
  <c r="M251" i="5"/>
  <c r="L251" i="5"/>
  <c r="M220" i="5"/>
  <c r="L220" i="5"/>
  <c r="M277" i="5"/>
  <c r="L277" i="5"/>
  <c r="M284" i="5"/>
  <c r="L284" i="5"/>
  <c r="M291" i="5"/>
  <c r="L291" i="5"/>
  <c r="M185" i="5"/>
  <c r="L185" i="5"/>
  <c r="M189" i="5"/>
  <c r="L189" i="5"/>
  <c r="E6" i="9"/>
  <c r="I3" i="14"/>
  <c r="J2" i="14"/>
  <c r="E5" i="14"/>
  <c r="I2" i="14"/>
  <c r="I6" i="14"/>
  <c r="J12" i="14"/>
  <c r="D2" i="14"/>
  <c r="E12" i="14"/>
  <c r="J8" i="14"/>
  <c r="E5" i="9"/>
  <c r="E3" i="14"/>
  <c r="D9" i="14"/>
  <c r="D10" i="14"/>
  <c r="D7" i="14"/>
  <c r="I15" i="14"/>
  <c r="F6" i="9"/>
  <c r="E4" i="14"/>
  <c r="E9" i="14"/>
  <c r="I4" i="14"/>
  <c r="J5" i="14"/>
  <c r="E2" i="14"/>
  <c r="I10" i="14"/>
  <c r="D6" i="14"/>
  <c r="E11" i="14"/>
  <c r="D14" i="14"/>
  <c r="F5" i="9"/>
  <c r="I5" i="14"/>
  <c r="J11" i="14"/>
  <c r="J9" i="14"/>
  <c r="J4" i="14"/>
  <c r="F3" i="9"/>
  <c r="I8" i="14"/>
  <c r="D11" i="14"/>
  <c r="I14" i="14"/>
  <c r="E15" i="14"/>
  <c r="D5" i="14"/>
  <c r="I11" i="14"/>
  <c r="E6" i="14"/>
  <c r="J6" i="14"/>
  <c r="I9" i="14"/>
  <c r="J14" i="14"/>
  <c r="E14" i="14"/>
  <c r="F4" i="9"/>
  <c r="J7" i="14"/>
  <c r="D12" i="14"/>
  <c r="J3" i="14"/>
  <c r="D8" i="14"/>
  <c r="I12" i="14" l="1"/>
  <c r="E7" i="14"/>
  <c r="D4" i="14"/>
  <c r="D3" i="14"/>
  <c r="J15" i="14"/>
  <c r="I7" i="14"/>
  <c r="J10" i="14"/>
  <c r="E3" i="9"/>
  <c r="E4" i="9"/>
  <c r="L2" i="14"/>
  <c r="G2" i="14"/>
  <c r="G3" i="14" s="1"/>
  <c r="G4" i="14" s="1"/>
  <c r="G5" i="14" s="1"/>
  <c r="G6" i="14" s="1"/>
  <c r="G7" i="14" s="1"/>
  <c r="G8" i="14" s="1"/>
  <c r="G9" i="14" s="1"/>
  <c r="G10" i="14" s="1"/>
  <c r="G11" i="14" s="1"/>
  <c r="G12" i="14" s="1"/>
  <c r="G14" i="14" s="1"/>
  <c r="G15" i="14" s="1"/>
  <c r="E3" i="1" s="1"/>
  <c r="F2" i="14"/>
  <c r="L3" i="14"/>
  <c r="L4" i="14" s="1"/>
  <c r="L5" i="14" s="1"/>
  <c r="L6" i="14" s="1"/>
  <c r="L7" i="14" s="1"/>
  <c r="L8" i="14" s="1"/>
  <c r="L9" i="14" s="1"/>
  <c r="L10" i="14" s="1"/>
  <c r="L11" i="14" s="1"/>
  <c r="L12" i="14" s="1"/>
  <c r="L14" i="14" s="1"/>
  <c r="L15" i="14" s="1"/>
  <c r="E11" i="1" s="1"/>
  <c r="K2" i="14"/>
  <c r="K3" i="14" s="1"/>
  <c r="K4" i="14" s="1"/>
  <c r="K5" i="14" s="1"/>
  <c r="K6" i="14" s="1"/>
  <c r="F3" i="14"/>
  <c r="F4" i="14" s="1"/>
  <c r="F5" i="14" s="1"/>
  <c r="F6" i="14" s="1"/>
  <c r="F7" i="14" s="1"/>
  <c r="F8" i="14" s="1"/>
  <c r="F9" i="14" s="1"/>
  <c r="F10" i="14" s="1"/>
  <c r="F11" i="14" s="1"/>
  <c r="F12" i="14" s="1"/>
  <c r="F14" i="14" s="1"/>
  <c r="F15" i="14" s="1"/>
  <c r="D3" i="1" s="1"/>
  <c r="D10" i="1" s="1"/>
  <c r="K7" i="14" l="1"/>
  <c r="K8" i="14" s="1"/>
  <c r="K9" i="14" s="1"/>
  <c r="K10" i="14" s="1"/>
  <c r="K11" i="14" s="1"/>
  <c r="K12" i="14" s="1"/>
  <c r="K14" i="14" s="1"/>
  <c r="K15" i="14" s="1"/>
  <c r="D11" i="1" s="1"/>
  <c r="D16" i="1" s="1"/>
  <c r="D8" i="1"/>
  <c r="D9" i="1"/>
  <c r="D6" i="1"/>
  <c r="D7" i="1"/>
  <c r="D4" i="1"/>
  <c r="D5" i="1"/>
  <c r="E7" i="1"/>
  <c r="E6" i="1"/>
  <c r="E8" i="1"/>
  <c r="E9" i="1"/>
  <c r="E5" i="1"/>
  <c r="E4" i="1"/>
  <c r="E10" i="1"/>
  <c r="E13" i="1"/>
  <c r="E14" i="1"/>
  <c r="E18" i="1"/>
  <c r="E12" i="1"/>
  <c r="E16" i="1"/>
  <c r="E17" i="1"/>
  <c r="E15" i="1"/>
  <c r="D13" i="1"/>
  <c r="D12" i="1"/>
  <c r="D18" i="1"/>
  <c r="D17" i="1"/>
  <c r="D15" i="1"/>
  <c r="D14" i="1" l="1"/>
</calcChain>
</file>

<file path=xl/sharedStrings.xml><?xml version="1.0" encoding="utf-8"?>
<sst xmlns="http://schemas.openxmlformats.org/spreadsheetml/2006/main" count="3653" uniqueCount="954">
  <si>
    <t>Περίοδος</t>
  </si>
  <si>
    <t>Έτος</t>
  </si>
  <si>
    <t>2ο Εξάμηνο</t>
  </si>
  <si>
    <t>Επίπεδο</t>
  </si>
  <si>
    <t>Ιανουάριος</t>
  </si>
  <si>
    <t>Επικράτεια</t>
  </si>
  <si>
    <t>Φεβρουάριος</t>
  </si>
  <si>
    <t>Περιφέρεια</t>
  </si>
  <si>
    <t>Μάρτιος</t>
  </si>
  <si>
    <t>Νομός</t>
  </si>
  <si>
    <t>Απρίλιος</t>
  </si>
  <si>
    <t>Δήμος</t>
  </si>
  <si>
    <t>Μάιος</t>
  </si>
  <si>
    <t>Ιούνιος</t>
  </si>
  <si>
    <t>Ιούλιος</t>
  </si>
  <si>
    <t>Αύγουστος</t>
  </si>
  <si>
    <t>Σεπτέμβριος</t>
  </si>
  <si>
    <t>Οκτόβριος</t>
  </si>
  <si>
    <t>Νοέμβριος</t>
  </si>
  <si>
    <t>Δεκέμβριος</t>
  </si>
  <si>
    <t>1ο Τρίμηνο</t>
  </si>
  <si>
    <t>2ο Τρίμηνο</t>
  </si>
  <si>
    <t>3ο Τρίμηνο</t>
  </si>
  <si>
    <t>4ο Τρίμηνο</t>
  </si>
  <si>
    <t>1ο Εξάμηνο</t>
  </si>
  <si>
    <t>Χειμερινό Εξάμηνο</t>
  </si>
  <si>
    <t>Θερινό εξάμηνο</t>
  </si>
  <si>
    <t>Ετήσιο</t>
  </si>
  <si>
    <t>Πάροχος</t>
  </si>
  <si>
    <t>Πάροχοι</t>
  </si>
  <si>
    <t>FORTHNET</t>
  </si>
  <si>
    <t>OTE</t>
  </si>
  <si>
    <t>Περιφέρειες</t>
  </si>
  <si>
    <t>Κάλυψη</t>
  </si>
  <si>
    <t>Τύποι Κάλυψης</t>
  </si>
  <si>
    <t>Μερική</t>
  </si>
  <si>
    <t>Ολική</t>
  </si>
  <si>
    <t>Καθόλου</t>
  </si>
  <si>
    <t>ΕΝΟΤΗΤΑ</t>
  </si>
  <si>
    <t>ΑΝΑΤΟΛΙΚΗΣ ΜΑΚΕΔΟΝΙΑΣ ΚΑΙ ΘΡΑΚΗΣ</t>
  </si>
  <si>
    <t>ΑΤΤΙΚΗΣ</t>
  </si>
  <si>
    <t>ΔΟΞΑΤΟΥ</t>
  </si>
  <si>
    <t>ΔΡΑΜΑΣ</t>
  </si>
  <si>
    <t>ΚΑΤΩ ΝΕΥΡΟΚΟΠΙΟΥ</t>
  </si>
  <si>
    <t>ΠΑΡΑΝΕΣΤΙΟΥ</t>
  </si>
  <si>
    <t>ΠΡΟΣΟΤΣΑΝΗΣ</t>
  </si>
  <si>
    <t>ΑΛΕΞΑΝΔΡΟΥΠΟΛΗΣ</t>
  </si>
  <si>
    <t>ΔΙΔΥΜΟΤΕΙΧΟΥ</t>
  </si>
  <si>
    <t>ΟΡΕΣΤΙΑΔΑΣ</t>
  </si>
  <si>
    <t>ΣΑΜΟΘΡΑΚΗΣ</t>
  </si>
  <si>
    <t>ΣΟΥΦΛΙΟΥ</t>
  </si>
  <si>
    <t>ΘΑΣΟΥ</t>
  </si>
  <si>
    <t>ΚΑΒΑΛΑΣ</t>
  </si>
  <si>
    <t>ΝΕΣΤΟΥ</t>
  </si>
  <si>
    <t>ΠΑΓΓΑΙΟΥ</t>
  </si>
  <si>
    <t>ΑΒΔΗΡΩΝ</t>
  </si>
  <si>
    <t>ΜΥΚΗΣ</t>
  </si>
  <si>
    <t>ΞΑΝΘΗΣ</t>
  </si>
  <si>
    <t>ΤΟΠΕΙΡΟΥ</t>
  </si>
  <si>
    <t>ΑΡΡΙΑΝΩΝ</t>
  </si>
  <si>
    <t>ΙΑΣΜΟΥ</t>
  </si>
  <si>
    <t>ΚΟΜΟΤΗΝΗΣ</t>
  </si>
  <si>
    <t>ΜΑΡΩΝΕΙΑΣ – ΣΑΠΩΝ</t>
  </si>
  <si>
    <t>ΑΧΑΡΝΩΝ</t>
  </si>
  <si>
    <t>ΒΑΡΗΣ – ΒΟΥΛΑΣ – ΒΟΥΛΙΑΓΜΕΝΗΣ</t>
  </si>
  <si>
    <t>ΔΙΟΝΥΣΟΥ</t>
  </si>
  <si>
    <t>ΚΡΩΠΙΑΣ</t>
  </si>
  <si>
    <t>ΛΑΥΡΕΩΤΙΚΗΣ</t>
  </si>
  <si>
    <t>ΜΑΡΑΘΩΝΟΣ</t>
  </si>
  <si>
    <t>ΜΑΡΚΟΠΟΥΛΟΥ ΜΕΣΟΓΑΙΑΣ</t>
  </si>
  <si>
    <t>ΠΑΙΑΝΙΑΣ</t>
  </si>
  <si>
    <t>ΠΑΛΛΗΝΗΣ</t>
  </si>
  <si>
    <t>ΡΑΦΗΝΑΣ – ΠΙΚΕΡΜΙΟΥ</t>
  </si>
  <si>
    <t>ΣΑΡΩΝΙΚΟΥ</t>
  </si>
  <si>
    <t>ΣΠΑΤΩΝ – ΑΡΤΕΜΙΔΟΣ</t>
  </si>
  <si>
    <t>ΩΡΩΠΟΥ</t>
  </si>
  <si>
    <t>ΑΓΙΑΣ ΠΑΡΑΣΚΕΥΗΣ</t>
  </si>
  <si>
    <t>ΑΜΑΡΟΥΣΙΟΥ</t>
  </si>
  <si>
    <t>ΒΡΙΛΗΣΣΙΩΝ</t>
  </si>
  <si>
    <t>ΗΡΑΚΛΕΙΟΥ</t>
  </si>
  <si>
    <t>ΚΗΦΙΣΙΑΣ</t>
  </si>
  <si>
    <t>ΛΥΚΟΒΡΥΣΗΣ – ΠΕΥΚΗΣ</t>
  </si>
  <si>
    <t>ΜΕΤΑΜΟΡΦΩΣΕΩΣ</t>
  </si>
  <si>
    <t>ΝΕΑΣ ΙΩΝΙΑΣ</t>
  </si>
  <si>
    <t>ΠΑΠΑΓΟΥ – ΧΟΛΑΡΓΟΥ</t>
  </si>
  <si>
    <t>ΠΕΝΤΕΛΗΣ</t>
  </si>
  <si>
    <t>ΦΙΛΟΘΕΗΣ – ΨΥΧΙΚΟΥ</t>
  </si>
  <si>
    <t>ΧΑΛΑΝΔΡΙΟΥ</t>
  </si>
  <si>
    <t>ΑΣΠΡΟΠΥΡΓΟΥ</t>
  </si>
  <si>
    <t>ΕΛΕΥΣΙΝΑΣ</t>
  </si>
  <si>
    <t>ΜΑΝΔΡΑΣ – ΕΙΔΥΛΛΙΑΣ</t>
  </si>
  <si>
    <t>ΜΕΓΑΡΕΩΝ</t>
  </si>
  <si>
    <t>ΦΥΛΗΣ</t>
  </si>
  <si>
    <t>ΑΓΙΑΣ ΒΑΡΒΑΡΑΣ</t>
  </si>
  <si>
    <t>ΑΓΙΩΝ ΑΝΑΡΓΥΡΩΝ – ΚΑΜΑΤΕΡΟΥ</t>
  </si>
  <si>
    <t>ΑΙΓΑΛΕΩ</t>
  </si>
  <si>
    <t>ΙΛΙΟΥ</t>
  </si>
  <si>
    <t>ΠΕΡΙΣΤΕΡΙΟΥ</t>
  </si>
  <si>
    <t>ΠΕΤΡΟΥΠΟΛΕΩΣ</t>
  </si>
  <si>
    <t>ΧΑΪΔΑΡΙΟΥ</t>
  </si>
  <si>
    <t>ΑΘΗΝΑΙΩΝ</t>
  </si>
  <si>
    <t>ΒΥΡΩΝΟΣ</t>
  </si>
  <si>
    <t>ΓΑΛΑΤΣΙΟΥ</t>
  </si>
  <si>
    <t>ΔΑΦΝΗΣ – ΥΜΗΤΤΟΥ</t>
  </si>
  <si>
    <t>ΖΩΓΡΑΦΟΥ</t>
  </si>
  <si>
    <t>ΗΛΙΟΥΠΟΛΕΩΣ</t>
  </si>
  <si>
    <t>ΚΑΙΣΑΡΙΑΝΗΣ</t>
  </si>
  <si>
    <t>ΦΙΛΑΔΕΛΦΕΙΑΣ – ΧΑΛΚΗΔΟΝΟΣ</t>
  </si>
  <si>
    <t>ΑΓΚΙΣΤΡΙΟΥ</t>
  </si>
  <si>
    <t>ΑΙΓΙΝΑΣ</t>
  </si>
  <si>
    <t>ΚΥΘΗΡΩΝ</t>
  </si>
  <si>
    <t>ΠΟΡΟΥ</t>
  </si>
  <si>
    <t>ΣΑΛΑΜΙΝΟΣ</t>
  </si>
  <si>
    <t>ΣΠΕΤΣΩΝ</t>
  </si>
  <si>
    <t>ΤΡΟΙΖΗΝΙΑΣ</t>
  </si>
  <si>
    <t>ΥΔΡΑΣ</t>
  </si>
  <si>
    <t>ΑΓΙΟΥ ΔΗΜΗΤΡΙΟΥ</t>
  </si>
  <si>
    <t>ΑΛΙΜΟΥ</t>
  </si>
  <si>
    <t>ΓΛΥΦΑΔΑΣ</t>
  </si>
  <si>
    <t>ΕΛΛΗΝΙΚΟΥ – ΑΡΓΥΡΟΥΠΟΛΗΣ</t>
  </si>
  <si>
    <t>ΚΑΛΛΙΘΕΑΣ</t>
  </si>
  <si>
    <t>ΜΟΣΧΑΤΟΥ – ΤΑΥΡΟΥ</t>
  </si>
  <si>
    <t>ΝΕΑΣ ΣΜΥΡΝΗΣ</t>
  </si>
  <si>
    <t>ΠΑΛΑΙΟΥ ΦΑΛΗΡΟΥ</t>
  </si>
  <si>
    <t>ΚΕΡΑΤΣΙΝΙΟΥ – ΔΡΑΠΕΤΣΩΝΑΣ</t>
  </si>
  <si>
    <t>ΚΟΡΥΔΑΛΛΟΥ</t>
  </si>
  <si>
    <t>ΝΙΚΑΙΑΣ – ΑΓΙΟΥ ΙΩΑΝΝΗ ΡΕΝΤΗ</t>
  </si>
  <si>
    <t>ΠΕΙΡΑΙΩΣ</t>
  </si>
  <si>
    <t>ΠΕΡΑΜΑΤΟΣ</t>
  </si>
  <si>
    <t>ΙΚΑΡΙΑΣ</t>
  </si>
  <si>
    <t>ΦΟΥΡΝΩΝ ΚΟΡΣΕΩΝ</t>
  </si>
  <si>
    <t>ΛΕΣΒΟΥ</t>
  </si>
  <si>
    <t>ΑΓΙΟΥ ΕΥΣΤΡΑΤΙΟΥ</t>
  </si>
  <si>
    <t>ΛΗΜΝΟΥ</t>
  </si>
  <si>
    <t>ΣΑΜΟΥ</t>
  </si>
  <si>
    <t>ΟΙΝΟΥΣΣΩΝ</t>
  </si>
  <si>
    <t>ΧΙΟΥ</t>
  </si>
  <si>
    <t>ΨΑΡΩΝ</t>
  </si>
  <si>
    <t>ΑΓΡΙΝΙΟΥ</t>
  </si>
  <si>
    <t>ΑΚΤΙΟΥ – ΒΟΝΙΤΣΑΣ</t>
  </si>
  <si>
    <t>ΑΜΦΙΛΟΧΙΑΣ</t>
  </si>
  <si>
    <t>ΘΕΡΜΟΥ</t>
  </si>
  <si>
    <t>ΙΕΡΑΣ ΠΟΛΗΣ ΜΕΣΟΛΟΓΓΙΟΥ</t>
  </si>
  <si>
    <t>ΝΑΥΠΑΚΤΙΑΣ</t>
  </si>
  <si>
    <t>ΞΗΡΟΜΕΡΟΥ</t>
  </si>
  <si>
    <t>ΑΙΓΙΑΛΕΙΑΣ</t>
  </si>
  <si>
    <t>ΔΥΤΙΚΗΣ ΑΧΑΪΑΣ</t>
  </si>
  <si>
    <t>ΕΡΥΜΑΝΘΟΥ</t>
  </si>
  <si>
    <t>ΚΑΛΑΒΡΥΤΩΝ</t>
  </si>
  <si>
    <t>ΠΑΤΡΕΩΝ</t>
  </si>
  <si>
    <t>ΑΝΔΡΑΒΙΔΑΣ – ΚΥΛΛΗΝΗΣ</t>
  </si>
  <si>
    <t>ΑΝΔΡΙΤΣΑΙΝΑΣ – ΚΡΕΣΤΕΝΩΝ</t>
  </si>
  <si>
    <t>ΑΡΧΑΙΑΣ ΟΛΥΜΠΙΑΣ</t>
  </si>
  <si>
    <t>ΖΑΧΑΡΩΣ</t>
  </si>
  <si>
    <t>ΗΛΙΔΑΣ</t>
  </si>
  <si>
    <t>ΠΗΝΕΙΟΥ</t>
  </si>
  <si>
    <t>ΠΥΡΓΟΥ</t>
  </si>
  <si>
    <t>ΓΡΕΒΕΝΩΝ</t>
  </si>
  <si>
    <t>ΔΕΣΚΑΤΗΣ</t>
  </si>
  <si>
    <t>ΚΑΣΤΟΡΙΑΣ</t>
  </si>
  <si>
    <t>ΝΕΣΤΟΡΙΟΥ</t>
  </si>
  <si>
    <t>ΟΡΕΣΤΙΔΟΣ</t>
  </si>
  <si>
    <t>ΒΟΪΟΥ</t>
  </si>
  <si>
    <t>ΕΟΡΔΑΙΑΣ</t>
  </si>
  <si>
    <t>ΚΟΖΑΝΗΣ</t>
  </si>
  <si>
    <t>ΣΕΡΒΙΩΝ – ΒΕΛΒΕΝΤΟΥ</t>
  </si>
  <si>
    <t>ΑΜΥΝΤΑΙΟΥ</t>
  </si>
  <si>
    <t>ΠΡΕΣΠΩΝ</t>
  </si>
  <si>
    <t>ΦΛΩΡΙΝΑΣ</t>
  </si>
  <si>
    <t>ΑΡΤΑΙΩΝ</t>
  </si>
  <si>
    <t>ΓΕΩΡΓΙΟΥ ΚΑΡΑΪΣΚΑΚΗ</t>
  </si>
  <si>
    <t>ΚΕΝΤΡΙΚΩΝ ΤΖΟΥΜΕΡΚΩΝ</t>
  </si>
  <si>
    <t>ΝΙΚΟΛΑΟΥ ΣΚΟΥΦΑ</t>
  </si>
  <si>
    <t>ΗΓΟΥΜΕΝΙΤΣΑΣ</t>
  </si>
  <si>
    <t>ΣΟΥΛΙΟΥ</t>
  </si>
  <si>
    <t>ΦΙΛΙΑΤΩΝ</t>
  </si>
  <si>
    <t>ΒΟΡΕΙΩΝ ΤΖΟΥΜΕΡΚΩΝ</t>
  </si>
  <si>
    <t>ΔΩΔΩΝΗΣ</t>
  </si>
  <si>
    <t>ΖΑΓΟΡΙΟΥ</t>
  </si>
  <si>
    <t>ΖΙΤΣΑΣ</t>
  </si>
  <si>
    <t>ΙΩΑΝΝΙΤΩΝ</t>
  </si>
  <si>
    <t>ΚΟΝΙΤΣΑΣ</t>
  </si>
  <si>
    <t>ΜΕΤΣΟΒΟΥ</t>
  </si>
  <si>
    <t>ΠΩΓΩΝΙΟΥ</t>
  </si>
  <si>
    <t>ΖΗΡΟΥ</t>
  </si>
  <si>
    <t>ΠΑΡΓΑΣ</t>
  </si>
  <si>
    <t>ΠΡΕΒΕΖΑΣ</t>
  </si>
  <si>
    <t>ΑΡΓΙΘΕΑΣ</t>
  </si>
  <si>
    <t>ΚΑΡΔΙΤΣΑΣ</t>
  </si>
  <si>
    <t>ΛΙΜΝΗΣ ΠΛΑΣΤΗΡΑ</t>
  </si>
  <si>
    <t>ΜΟΥΖΑΚΙΟΥ</t>
  </si>
  <si>
    <t>ΠΑΛΑΜΑ</t>
  </si>
  <si>
    <t>ΣΟΦΑΔΩΝ</t>
  </si>
  <si>
    <t>ΑΓΙΑΣ</t>
  </si>
  <si>
    <t>ΕΛΑΣΣΟΝΑΣ</t>
  </si>
  <si>
    <t>ΚΙΛΕΛΕΡ</t>
  </si>
  <si>
    <t>ΛΑΡΙΣΑΙΩΝ</t>
  </si>
  <si>
    <t>ΤΕΜΠΩΝ</t>
  </si>
  <si>
    <t>ΤΥΡΝΑΒΟΥ</t>
  </si>
  <si>
    <t>ΦΑΡΣΑΛΩΝ</t>
  </si>
  <si>
    <t>ΑΛΜΥΡΟΥ</t>
  </si>
  <si>
    <t>ΒΟΛΟΥ</t>
  </si>
  <si>
    <t>ΖΑΓΟΡΑΣ – ΜΟΥΡΕΣΙΟΥ</t>
  </si>
  <si>
    <t>ΝΟΤΙΟΥ ΠΗΛΙΟΥ</t>
  </si>
  <si>
    <t>ΡΗΓΑ ΦΕΡΑΙΟΥ</t>
  </si>
  <si>
    <t>ΑΛΟΝΝΗΣΟΥ</t>
  </si>
  <si>
    <t>ΣΚΙΑΘΟΥ</t>
  </si>
  <si>
    <t>ΣΚΟΠΕΛΟΥ</t>
  </si>
  <si>
    <t>ΚΑΛΑΜΠΑΚΑΣ</t>
  </si>
  <si>
    <t>ΠΥΛΗΣ</t>
  </si>
  <si>
    <t>ΤΡΙΚΚΑΙΩΝ</t>
  </si>
  <si>
    <t>ΦΑΡΚΑΔΟΝΑΣ</t>
  </si>
  <si>
    <t>ΖΑΚΥΝΘΟΥ</t>
  </si>
  <si>
    <t>ΙΘΑΚΗΣ</t>
  </si>
  <si>
    <t>ΚΕΡΚΥΡΑΣ</t>
  </si>
  <si>
    <t>ΠΑΞΩΝ</t>
  </si>
  <si>
    <t>ΚΕΦΑΛΟΝΙΑΣ</t>
  </si>
  <si>
    <t>ΛΕΥΚΑΔΑΣ</t>
  </si>
  <si>
    <t>ΜΕΓΑΝΗΣΙΟΥ</t>
  </si>
  <si>
    <t>ΑΛΕΞΑΝΔΡΕΙΑΣ</t>
  </si>
  <si>
    <t>ΒΕΡΟΙΑΣ</t>
  </si>
  <si>
    <t>ΝΑΟΥΣΑΣ</t>
  </si>
  <si>
    <t>ΑΜΠΕΛΟΚΗΠΩΝ – ΜΕΝΕΜΕΝΗΣ</t>
  </si>
  <si>
    <t>ΒΟΛΒΗΣ</t>
  </si>
  <si>
    <t>ΔΕΛΤΑ</t>
  </si>
  <si>
    <t>ΘΕΡΜΑΪΚΟΥ</t>
  </si>
  <si>
    <t>ΘΕΡΜΗΣ</t>
  </si>
  <si>
    <t>ΘΕΣΣΑΛΟΝΙΚΗΣ</t>
  </si>
  <si>
    <t>ΚΑΛΑΜΑΡΙΑΣ</t>
  </si>
  <si>
    <t>ΚΟΡΔΕΛΙΟΥ – ΕΥΟΣΜΟΥ</t>
  </si>
  <si>
    <t>ΛΑΓΚΑΔΑ</t>
  </si>
  <si>
    <t>ΝΕΑΠΟΛΗΣ – ΣΥΚΕΩΝ</t>
  </si>
  <si>
    <t>ΠΑΥΛΟΥ ΜΕΛΑ</t>
  </si>
  <si>
    <t>ΠΥΛΑΙΑΣ – ΧΟΡΤΙΑΤΗ</t>
  </si>
  <si>
    <t>ΧΑΛΚΗΔΟΝΟΣ</t>
  </si>
  <si>
    <t>ΩΡΑΙΟΚΑΣΤΡΟΥ</t>
  </si>
  <si>
    <t>ΚΙΛΚΙΣ</t>
  </si>
  <si>
    <t>ΠΑΙΟΝΙΑΣ</t>
  </si>
  <si>
    <t>ΑΛΜΩΠΙΑΣ</t>
  </si>
  <si>
    <t>ΕΔΕΣΣΑΣ</t>
  </si>
  <si>
    <t>ΠΕΛΛΑΣ</t>
  </si>
  <si>
    <t>ΣΚΥΔΡΑΣ</t>
  </si>
  <si>
    <t>ΔΙΟΥ – ΟΛΥΜΠΟΥ</t>
  </si>
  <si>
    <t>ΚΑΤΕΡΙΝΗΣ</t>
  </si>
  <si>
    <t>ΠΥΔΝΑΣ – ΚΟΛΙΝΔΡΟΥ</t>
  </si>
  <si>
    <t>ΑΜΦΙΠΟΛΗΣ</t>
  </si>
  <si>
    <t>ΒΙΣΑΛΤΙΑΣ</t>
  </si>
  <si>
    <t>ΕΜΜΑΝΟΥΗΛ ΠΑΠΠΑ</t>
  </si>
  <si>
    <t>ΗΡΑΚΛΕΙΑΣ</t>
  </si>
  <si>
    <t>ΝΕΑΣ ΖΙΧΝΗΣ</t>
  </si>
  <si>
    <t>ΣΕΡΡΩΝ</t>
  </si>
  <si>
    <t>ΣΙΝΤΙΚΗΣ</t>
  </si>
  <si>
    <t>ΑΡΙΣΤΟΤΕΛΗ</t>
  </si>
  <si>
    <t>ΚΑΣΣΑΝΔΡΑΣ</t>
  </si>
  <si>
    <t>ΝΕΑΣ ΠΡΟΠΟΝΤΙΔΑΣ</t>
  </si>
  <si>
    <t>ΠΟΛΥΓΥΡΟΥ</t>
  </si>
  <si>
    <t>ΣΙΘΩΝΙΑΣ</t>
  </si>
  <si>
    <t>ΑΡΧΑΝΩΝ – ΑΣΤΕΡΟΥΣΙΩΝ</t>
  </si>
  <si>
    <t>ΒΙΑΝΝΟΥ</t>
  </si>
  <si>
    <t>ΓΟΡΤΥΝΑΣ</t>
  </si>
  <si>
    <t>ΜΑΛΕΒΙΖΙΟΥ</t>
  </si>
  <si>
    <t>ΜΙΝΩΑ ΠΕΔΙΑΔΑΣ</t>
  </si>
  <si>
    <t>ΦΑΙΣΤΟΥ</t>
  </si>
  <si>
    <t>ΧΕΡΣΟΝΗΣΟΥ</t>
  </si>
  <si>
    <t>ΑΓΙΟΥ ΝΙΚΟΛΑΟΥ</t>
  </si>
  <si>
    <t>ΙΕΡΑΠΕΤΡΑΣ</t>
  </si>
  <si>
    <t>ΟΡΟΠΕΔΙΟΥ ΛΑΣΙΘΙΟΥ</t>
  </si>
  <si>
    <t>ΣΗΤΕΙΑΣ</t>
  </si>
  <si>
    <t>ΑΓΙΟΥ ΒΑΣΙΛΕΙΟΥ</t>
  </si>
  <si>
    <t>ΑΜΑΡΙΟΥ</t>
  </si>
  <si>
    <t>ΑΝΩΓΕΙΩΝ</t>
  </si>
  <si>
    <t>ΜΥΛΟΠΟΤΑΜΟΥ</t>
  </si>
  <si>
    <t>ΡΕΘΥΜΝΗΣ</t>
  </si>
  <si>
    <t>ΑΠΟΚΟΡΩΝΟΥ</t>
  </si>
  <si>
    <t>ΓΑΥΔΟΥ</t>
  </si>
  <si>
    <t>ΚΑΝΤΑΝΟΥ – ΣΕΛΙΝΟΥ</t>
  </si>
  <si>
    <t>ΚΙΣΣΑΜΟΥ</t>
  </si>
  <si>
    <t>ΠΛΑΤΑΝΙΑ</t>
  </si>
  <si>
    <t>ΣΦΑΚΙΩΝ</t>
  </si>
  <si>
    <t>ΧΑΝΙΩΝ</t>
  </si>
  <si>
    <t>ΑΝΔΡΟΥ</t>
  </si>
  <si>
    <t>ΑΝΑΦΗΣ</t>
  </si>
  <si>
    <t>ΘΗΡΑΣ</t>
  </si>
  <si>
    <t>ΙΗΤΩΝ</t>
  </si>
  <si>
    <t>ΣΙΚΙΝΟΥ</t>
  </si>
  <si>
    <t>ΦΟΛΕΓΑΝΔΡΟΥ</t>
  </si>
  <si>
    <t>ΑΓΑΘΟΝΗΣΙΟΥ</t>
  </si>
  <si>
    <t>ΑΣΤΥΠΑΛΑΙΑΣ</t>
  </si>
  <si>
    <t>ΚΑΛΥΜΝΙΩΝ</t>
  </si>
  <si>
    <t>ΛΕΙΨΩΝ</t>
  </si>
  <si>
    <t>ΛΕΡΟΥ</t>
  </si>
  <si>
    <t>ΠΑΤΜΟΥ</t>
  </si>
  <si>
    <t>ΚΑΡΠΑΘΟΥ</t>
  </si>
  <si>
    <t>ΚΑΣΟΥ</t>
  </si>
  <si>
    <t>ΚΕΑΣ</t>
  </si>
  <si>
    <t>ΚΥΘΝΟΥ</t>
  </si>
  <si>
    <t>ΚΩ</t>
  </si>
  <si>
    <t>ΝΙΣΥΡΟΥ</t>
  </si>
  <si>
    <t>ΚΙΜΩΛΟΥ</t>
  </si>
  <si>
    <t>ΜΗΛΟΥ</t>
  </si>
  <si>
    <t>ΣΕΡΙΦΟΥ</t>
  </si>
  <si>
    <t>ΣΙΦΝΟΥ</t>
  </si>
  <si>
    <t>ΜΥΚΟΝΟΥ</t>
  </si>
  <si>
    <t>ΑΜΟΡΓΟΥ</t>
  </si>
  <si>
    <t>ΝΑΞΟΥ ΚΑΙ ΜΙΚΡΩΝ ΚΥΚΛΑΔΩΝ</t>
  </si>
  <si>
    <t>ΑΝΤΙΠΑΡΟΥ</t>
  </si>
  <si>
    <t>ΠΑΡΟΥ</t>
  </si>
  <si>
    <t>ΜΕΓΙΣΤΗΣ</t>
  </si>
  <si>
    <t>ΡΟΔΟΥ</t>
  </si>
  <si>
    <t>ΣΥΜΗΣ</t>
  </si>
  <si>
    <t>ΤΗΛΟΥ</t>
  </si>
  <si>
    <t>ΧΑΛΚΗΣ</t>
  </si>
  <si>
    <t>ΣΥΡΟΥ – ΕΡΜΟΥΠΟΛΗΣ</t>
  </si>
  <si>
    <t>ΤΗΝΟΥ</t>
  </si>
  <si>
    <t>ΑΡΓΟΥΣ – ΜΥΚΗΝΩΝ</t>
  </si>
  <si>
    <t>ΕΠΙΔΑΥΡΟΥ</t>
  </si>
  <si>
    <t>ΕΡΜΙΟΝΙΔΑΣ</t>
  </si>
  <si>
    <t>ΝΑΥΠΛΙΕΩΝ</t>
  </si>
  <si>
    <t>ΒΟΡΕΙΑΣ ΚΥΝΟΥΡΙΑΣ</t>
  </si>
  <si>
    <t>ΓΟΡΤΥΝΙΑΣ</t>
  </si>
  <si>
    <t>ΜΕΓΑΛΟΠΟΛΗΣ</t>
  </si>
  <si>
    <t>ΝΟΤΙΑΣ ΚΥΝΟΥΡΙΑΣ</t>
  </si>
  <si>
    <t>ΤΡΙΠΟΛΗΣ</t>
  </si>
  <si>
    <t>ΒΕΛΟΥ – ΒΟΧΑΣ</t>
  </si>
  <si>
    <t>ΚΟΡΙΝΘΙΩΝ</t>
  </si>
  <si>
    <t>ΛΟΥΤΡΑΚΙΟΥ – ΑΓΙΩΝ ΘΕΟΔΩΡΩΝ</t>
  </si>
  <si>
    <t>ΝΕΜΕΑΣ</t>
  </si>
  <si>
    <t>ΞΥΛΟΚΑΣΤΡΟΥ – ΕΥΡΩΣΤΙΝΗΣ</t>
  </si>
  <si>
    <t>ΣΙΚΥΩΝΙΩΝ</t>
  </si>
  <si>
    <t>ΑΝΑΤΟΛΙΚΗΣ ΜΑΝΗΣ</t>
  </si>
  <si>
    <t>ΕΛΑΦΟΝΗΣΟΥ</t>
  </si>
  <si>
    <t>ΕΥΡΩΤΑ</t>
  </si>
  <si>
    <t>ΜΟΝΕΜΒΑΣΙΑΣ</t>
  </si>
  <si>
    <t>ΣΠΑΡΤΗΣ</t>
  </si>
  <si>
    <t>ΔΥΤΙΚΗΣ ΜΑΝΗΣ</t>
  </si>
  <si>
    <t>ΚΑΛΑΜΑΤΑΣ</t>
  </si>
  <si>
    <t>ΜΕΣΣΗΝΗΣ</t>
  </si>
  <si>
    <t>ΟΙΧΑΛΙΑΣ</t>
  </si>
  <si>
    <t>ΠΥΛΟΥ – ΝΕΣΤΟΡΟΣ</t>
  </si>
  <si>
    <t>ΤΡΙΦΥΛΙΑΣ</t>
  </si>
  <si>
    <t>ΑΛΙΑΡΤΟΥ</t>
  </si>
  <si>
    <t>ΔΙΣΤΟΜΟΥ – ΑΡΑΧΟΒΑΣ – ΑΝΤΙΚΥΡΑΣ</t>
  </si>
  <si>
    <t>ΘΗΒΑΙΩΝ</t>
  </si>
  <si>
    <t>ΛΕΒΑΔΕΩΝ</t>
  </si>
  <si>
    <t>ΟΡΧΟΜΕΝΟΥ</t>
  </si>
  <si>
    <t>ΤΑΝΑΓΡΑΣ</t>
  </si>
  <si>
    <t>ΔΙΡΦΥΩΝ – ΜΕΣΣΑΠΙΩΝ</t>
  </si>
  <si>
    <t>ΕΡΕΤΡΙΑΣ</t>
  </si>
  <si>
    <t>ΙΣΤΙΑΙΑΣ – ΑΙΔΗΨΟΥ</t>
  </si>
  <si>
    <t>ΚΑΡΥΣΤΟΥ</t>
  </si>
  <si>
    <t>ΚΥΜΗΣ – ΑΛΙΒΕΡΙΟΥ</t>
  </si>
  <si>
    <t>ΜΑΝΤΟΥΔΙΟΥ – ΛΙΜΝΗΣ – ΑΓΙΑΣ ΑΝΝΑΣ</t>
  </si>
  <si>
    <t>ΣΚΥΡΟΥ</t>
  </si>
  <si>
    <t>ΧΑΛΚΙΔΕΩΝ</t>
  </si>
  <si>
    <t>ΑΓΡΑΦΩΝ</t>
  </si>
  <si>
    <t>ΚΑΡΠΕΝΗΣΙΟΥ</t>
  </si>
  <si>
    <t>ΑΜΦΙΚΛΕΙΑΣ – ΕΛΑΤΕΙΑΣ</t>
  </si>
  <si>
    <t>ΔΟΜΟΚΟΥ</t>
  </si>
  <si>
    <t>ΛΑΜΙΕΩΝ</t>
  </si>
  <si>
    <t>ΛΟΚΡΩΝ</t>
  </si>
  <si>
    <t>ΜΑΚΡΑΚΩΜΗΣ</t>
  </si>
  <si>
    <t>ΜΩΛΟΥ – ΑΓΙΟΥ ΚΩΝΣΤΑΝΤΙΝΟΥ</t>
  </si>
  <si>
    <t>ΣΤΥΛΙΔΟΣ</t>
  </si>
  <si>
    <t>ΔΕΛΦΩΝ</t>
  </si>
  <si>
    <t>ΔΩΡΙΔΟΣ</t>
  </si>
  <si>
    <t>ΕΒΡΟΥ</t>
  </si>
  <si>
    <t>ΡΟΔΟΠΗΣ</t>
  </si>
  <si>
    <t>ΑΝΑΤΟΛΙΚΗΣ ΑΤΤΙΚΗΣ</t>
  </si>
  <si>
    <t>ΒΟΡΕΙΟΥ ΤΟΜΕΑ ΑΘΗΝΩΝ</t>
  </si>
  <si>
    <t>ΔΥΤΙΚΗΣ ΑΤΤΙΚΗΣ</t>
  </si>
  <si>
    <t>ΔΥΤΙΚΟΥ ΤΟΜΕΑ ΑΘΗΝΩΝ</t>
  </si>
  <si>
    <t>ΚΕΝΤΡΙΚΟΥ ΤΟΜΕΑ ΑΘΗΝΩΝ</t>
  </si>
  <si>
    <t>ΝΗΣΩΝ</t>
  </si>
  <si>
    <t>ΝΟΤΙΟΥ ΤΟΜΕΑ ΑΘΗΝΩΝ</t>
  </si>
  <si>
    <t>ΑΙΤΩΛΟΑΚΑΡΝΑΝΙΑΣ</t>
  </si>
  <si>
    <t>ΑΧΑΪΑΣ</t>
  </si>
  <si>
    <t>ΗΛΕΙΑΣ</t>
  </si>
  <si>
    <t>ΑΡΤΑΣ</t>
  </si>
  <si>
    <t>ΘΕΣΠΡΩΤΙΑΣ</t>
  </si>
  <si>
    <t>ΙΩΑΝΝΙΝΩΝ</t>
  </si>
  <si>
    <t>ΛΑΡΙΣΑΣ</t>
  </si>
  <si>
    <t>ΜΑΓΝΗΣΙΑΣ</t>
  </si>
  <si>
    <t>ΣΠΟΡΑΔΩΝ</t>
  </si>
  <si>
    <t>ΤΡΙΚΑΛΩΝ</t>
  </si>
  <si>
    <t>ΚΕΦΑΛΛΗΝΙΑΣ</t>
  </si>
  <si>
    <t>ΗΜΑΘΙΑΣ</t>
  </si>
  <si>
    <t>ΠΙΕΡΙΑΣ</t>
  </si>
  <si>
    <t>ΧΑΛΚΙΔΙΚΗΣ</t>
  </si>
  <si>
    <t>ΛΑΣΙΘΙΟΥ</t>
  </si>
  <si>
    <t>ΡΕΘΥΜΝΟΥ</t>
  </si>
  <si>
    <t>ΚΑΛΥΜΝΟΥ</t>
  </si>
  <si>
    <t>ΚΕΑΣ – ΚΥΘΝΟΥ</t>
  </si>
  <si>
    <t>ΝΑΞΟΥ</t>
  </si>
  <si>
    <t>ΣΥΡΟΥ</t>
  </si>
  <si>
    <t>ΑΡΓΟΛΙΔΑΣ</t>
  </si>
  <si>
    <t>ΑΡΚΑΔΙΑΣ</t>
  </si>
  <si>
    <t>ΚΟΡΙΝΘΙΑΣ</t>
  </si>
  <si>
    <t>ΛΑΚΩΝΙΑΣ</t>
  </si>
  <si>
    <t>ΜΕΣΣΗΝΙΑΣ</t>
  </si>
  <si>
    <t>ΒΟΙΩΤΙΑΣ</t>
  </si>
  <si>
    <t>ΕΥΒΟΙΑΣ</t>
  </si>
  <si>
    <t>ΕΥΡΥΤΑΝΙΑΣ</t>
  </si>
  <si>
    <t>ΦΘΙΩΤΙΔΑΣ</t>
  </si>
  <si>
    <t>ΦΩΚΙΔΑΣ</t>
  </si>
  <si>
    <t>ΒΟΡΕΙΟΥ ΑΙΓΑΙΟΥ</t>
  </si>
  <si>
    <t>ΔΥΤΙΚΗΣ ΕΛΛΑΔΑΣ</t>
  </si>
  <si>
    <t>ΔΥΤΙΚΗΣ ΜΑΚΕΔΟΝΙΑΣ</t>
  </si>
  <si>
    <t>ΗΠΕΙΡΟΥ</t>
  </si>
  <si>
    <t>ΘΕΣΣΑΛΙΑΣ</t>
  </si>
  <si>
    <t>ΙΟΝΙΩΝ ΝΗΣΩΝ</t>
  </si>
  <si>
    <t>ΚΕΝΤΡΙΚΗΣ ΜΑΚΕΔΟΝΙΑΣ</t>
  </si>
  <si>
    <t>ΚΡΗΤΗΣ</t>
  </si>
  <si>
    <t>ΝΟΤΙΟΥ ΑΙΓΑΙΟΥ</t>
  </si>
  <si>
    <t>ΠΕΛΟΠΟΝΝΗΣΟΥ</t>
  </si>
  <si>
    <t>ΣΤΕΡΕΑΣ ΕΛΛΑΔΑΣ</t>
  </si>
  <si>
    <t>ΠΕΡΙΦΕΡΕΙΑ</t>
  </si>
  <si>
    <t>ΔΗΜΟΣ</t>
  </si>
  <si>
    <t>Α/Α</t>
  </si>
  <si>
    <t>Κάλυψη Δήμου</t>
  </si>
  <si>
    <t>ΝΑΙ</t>
  </si>
  <si>
    <t>ΟΧΙ</t>
  </si>
  <si>
    <t>Σημειώσεις Παρόχου</t>
  </si>
  <si>
    <t>KPI-CODE</t>
  </si>
  <si>
    <t>Ποιότητα</t>
  </si>
  <si>
    <t>ΠΟΛΥ ΥΨΗΛΗ</t>
  </si>
  <si>
    <t>ΥΨΗΛΗ</t>
  </si>
  <si>
    <t>ΜΕΣΗ</t>
  </si>
  <si>
    <t>ΧΑΜΗΛΗ</t>
  </si>
  <si>
    <t>ΠΟΛΥ ΧΑΜΗΛΗ</t>
  </si>
  <si>
    <t>Συσκευές</t>
  </si>
  <si>
    <t>POTS</t>
  </si>
  <si>
    <t>ISDN</t>
  </si>
  <si>
    <t>VoIP</t>
  </si>
  <si>
    <t>Τύπος Υπηρεσίας</t>
  </si>
  <si>
    <t>Άμεση</t>
  </si>
  <si>
    <t>Έμμεση</t>
  </si>
  <si>
    <t>Πακέτο</t>
  </si>
  <si>
    <t>Πακέτο 1</t>
  </si>
  <si>
    <t>Πακέτο 2</t>
  </si>
  <si>
    <t>Τιμή</t>
  </si>
  <si>
    <t>Ονομαστική Ταχύτητα</t>
  </si>
  <si>
    <t>Μέση τιμή</t>
  </si>
  <si>
    <t>Β01</t>
  </si>
  <si>
    <t>Κατεύθυνση</t>
  </si>
  <si>
    <t>Κατευθυνση</t>
  </si>
  <si>
    <t>Αποστολή</t>
  </si>
  <si>
    <t>Λήψη</t>
  </si>
  <si>
    <t>Περιφέρειες με ολική κάλυψη</t>
  </si>
  <si>
    <t>Δήμοι σε Περιφέρειες με μερική κάλυψη</t>
  </si>
  <si>
    <t>Ημερ/νία έναρξης μετρήσεων</t>
  </si>
  <si>
    <t>Ημερ/νία λήξης μετρήσεων</t>
  </si>
  <si>
    <t>Υποβολή Αρχείου
χωρικής πληροφορίας</t>
  </si>
  <si>
    <t>ΕΛΕΓΧΟΣ ΟΡΘΟΤΗΤΑΣ</t>
  </si>
  <si>
    <t>Είδος Χωρητικότητας</t>
  </si>
  <si>
    <t>B02</t>
  </si>
  <si>
    <t>Μέση Χωρητικότητα Εθνικής Διασύνδεσης</t>
  </si>
  <si>
    <t>Μέση Χωρητικότητα Διεθνούς Διασύνδεσης</t>
  </si>
  <si>
    <t>Μέση Ονομαστική Απαίτηση Χωρητικότητας</t>
  </si>
  <si>
    <t>Εξάμηνο</t>
  </si>
  <si>
    <t>Ποσοστό Αποτυχημένων Κλήσεων (%)</t>
  </si>
  <si>
    <t>Β04</t>
  </si>
  <si>
    <t>Τερματικές συσκευές</t>
  </si>
  <si>
    <t>Άλλο</t>
  </si>
  <si>
    <t>Ποσοστό % ταχύτερα ικανοποιούμενων παραγγελιών</t>
  </si>
  <si>
    <t>Πληροφορίες για Τρόπους Υποβολής Παραγγελιών και Ώρες Λειτουργίας</t>
  </si>
  <si>
    <t>Ακρίβεια Συναντήσεων με Πελάτη</t>
  </si>
  <si>
    <t>B05</t>
  </si>
  <si>
    <t>B07</t>
  </si>
  <si>
    <t>B06</t>
  </si>
  <si>
    <t>B03</t>
  </si>
  <si>
    <t>Πληροφορίες για Τρόπους Υποβολής Αναφορών Βλάβης, Ώρες Λειτουργίας και Χρεώσεις</t>
  </si>
  <si>
    <t>Όρια διακινούμενου όγκου δεδομένων</t>
  </si>
  <si>
    <t>Μηχανισμοί μορφοποίησης κίνησης</t>
  </si>
  <si>
    <t>Περιορισμοί συγκεκριμένων εφαρμογών / υπηρεσιών</t>
  </si>
  <si>
    <t>Περιορισμοί δυνατότητας παραμετροποίησης ή /και πλήρους διαχείρισης του τερματικού εξοπλισμού</t>
  </si>
  <si>
    <t>Επίπεδο ποιότητας υπηρεσίας</t>
  </si>
  <si>
    <t>Κατηγορία Συνδρομητών</t>
  </si>
  <si>
    <t>Κόστος (€)</t>
  </si>
  <si>
    <t>B08</t>
  </si>
  <si>
    <t>Μετρική</t>
  </si>
  <si>
    <t>Υψηλότερο 95% δείγματος μετρήσεων</t>
  </si>
  <si>
    <t>Χαμηλότερο 5% δείγματος μετρήσεων</t>
  </si>
  <si>
    <t>URL με πληροφορίες για τους όρους του συμβολαίου</t>
  </si>
  <si>
    <t>Είδη κλήσεων</t>
  </si>
  <si>
    <t>Εθνικές</t>
  </si>
  <si>
    <t>Διεθνείς</t>
  </si>
  <si>
    <t>ΕΛΕΓΧΟΣ ΟΡΘΟΤΗΤΑΣ ΔΠ B01:</t>
  </si>
  <si>
    <t>Υποβολή</t>
  </si>
  <si>
    <t>ΕΛΕΓΧΟΣ ΟΡΘΟΤΗΤΑΣ ΔΠ B02:</t>
  </si>
  <si>
    <t>ΕΛΕΓΧΟΣ ΟΡΘΟΤΗΤΑΣ ΔΠ B03:</t>
  </si>
  <si>
    <t>ΕΛΕΓΧΟΣ ΟΡΘΟΤΗΤΑΣ ΔΠ B04:</t>
  </si>
  <si>
    <t>ΕΛΕΓΧΟΣ ΟΡΘΟΤΗΤΑΣ ΔΠ B05:</t>
  </si>
  <si>
    <t>ΕΛΕΓΧΟΣ ΟΡΘΟΤΗΤΑΣ ΔΠ B06:</t>
  </si>
  <si>
    <t>ΕΛΕΓΧΟΣ ΟΡΘΟΤΗΤΑΣ ΔΠ B07:</t>
  </si>
  <si>
    <t>ΕΛΕΓΧΟΣ ΟΡΘΟΤΗΤΑΣ ΔΠ B08:</t>
  </si>
  <si>
    <t>Υποβολή ΔΠ</t>
  </si>
  <si>
    <t>ΔΗΜΟΣ - ΠΕΡΙΦΕΡΕΙΑ</t>
  </si>
  <si>
    <t>Μέτρηση Πακέτου</t>
  </si>
  <si>
    <t>CYTA</t>
  </si>
  <si>
    <t>Αριθμός Παραδεκτών Αναφορών Βλάβης ανά Γραμμή Πρόσβασης (Σύνδεση)</t>
  </si>
  <si>
    <t>Ποσοστό % των ταχύτερα Επιδιορθωμένων Βλαβών</t>
  </si>
  <si>
    <t>Operator</t>
  </si>
  <si>
    <t>KPIcode</t>
  </si>
  <si>
    <t>ServiceType</t>
  </si>
  <si>
    <t>Metrics</t>
  </si>
  <si>
    <t>TransmitDirection</t>
  </si>
  <si>
    <t>MeasurementArea</t>
  </si>
  <si>
    <t>Packet</t>
  </si>
  <si>
    <t>MeasurementValue</t>
  </si>
  <si>
    <t>Notes</t>
  </si>
  <si>
    <t>noUse</t>
  </si>
  <si>
    <t>CapacityValue</t>
  </si>
  <si>
    <t>EndUsersAverage</t>
  </si>
  <si>
    <t>CapacityType</t>
  </si>
  <si>
    <t>CallType</t>
  </si>
  <si>
    <t>CallFailRate</t>
  </si>
  <si>
    <t>NoUse</t>
  </si>
  <si>
    <t>Terminals</t>
  </si>
  <si>
    <t>QualityValue</t>
  </si>
  <si>
    <t>Quality</t>
  </si>
  <si>
    <t>Ποιότητα Αριθμητικά</t>
  </si>
  <si>
    <t>FasterServingPercent</t>
  </si>
  <si>
    <t>OperatorTime</t>
  </si>
  <si>
    <t>AdministratorTime</t>
  </si>
  <si>
    <t>TotalTime</t>
  </si>
  <si>
    <t>OntimeCompletions</t>
  </si>
  <si>
    <t>poProcedure</t>
  </si>
  <si>
    <t>meetingsPrecission</t>
  </si>
  <si>
    <t>VerifiedFaults</t>
  </si>
  <si>
    <t>MeanLines</t>
  </si>
  <si>
    <t>VerifiedFaultsPerLine</t>
  </si>
  <si>
    <t>ComplainSubmittionInfo</t>
  </si>
  <si>
    <t>OperatorTime2</t>
  </si>
  <si>
    <t>AdministratorTime2</t>
  </si>
  <si>
    <t>TotalTime2</t>
  </si>
  <si>
    <t>meetingsPrecision</t>
  </si>
  <si>
    <t>LastChangeDate</t>
  </si>
  <si>
    <t>TrafficLimits</t>
  </si>
  <si>
    <t>ShapingEngines</t>
  </si>
  <si>
    <t>ApplicationRestrictions</t>
  </si>
  <si>
    <t>EquipmentRestrictions</t>
  </si>
  <si>
    <t>QoS</t>
  </si>
  <si>
    <t>SubscriberCategory</t>
  </si>
  <si>
    <t>ServiceCost</t>
  </si>
  <si>
    <t>ContactURL</t>
  </si>
  <si>
    <t>Περιοχή</t>
  </si>
  <si>
    <r>
      <t xml:space="preserve">Χωρητικότητα
(Mbps)
</t>
    </r>
    <r>
      <rPr>
        <b/>
        <sz val="9"/>
        <color rgb="FFC00000"/>
        <rFont val="Calibri"/>
        <family val="2"/>
        <charset val="161"/>
        <scheme val="minor"/>
      </rPr>
      <t>(Ακέραια αριθμητική τιμή)</t>
    </r>
  </si>
  <si>
    <r>
      <t xml:space="preserve">Μέσο Πλήθος Τελικών Χρηστών
</t>
    </r>
    <r>
      <rPr>
        <b/>
        <sz val="9"/>
        <color rgb="FFC00000"/>
        <rFont val="Calibri"/>
        <family val="2"/>
        <charset val="161"/>
        <scheme val="minor"/>
      </rPr>
      <t>(Ακέραια αριθμητική τιμή)</t>
    </r>
  </si>
  <si>
    <t>Πάροχος (εκτός λίστας):</t>
  </si>
  <si>
    <r>
      <t xml:space="preserve">Ποσοστό Αποτυχημένων Κλήσεων (%)
</t>
    </r>
    <r>
      <rPr>
        <b/>
        <sz val="9"/>
        <color rgb="FFC00000"/>
        <rFont val="Calibri"/>
        <family val="2"/>
        <charset val="161"/>
        <scheme val="minor"/>
      </rPr>
      <t>(αριθμητική τιμή με 2 δεκαδικά)</t>
    </r>
  </si>
  <si>
    <t>Σφάλματα</t>
  </si>
  <si>
    <r>
      <t xml:space="preserve">ΤΚ στα οποία πραγματοποιήθηκαν μετρήσεις
</t>
    </r>
    <r>
      <rPr>
        <b/>
        <sz val="9"/>
        <color rgb="FFC00000"/>
        <rFont val="Calibri"/>
        <family val="2"/>
        <charset val="161"/>
        <scheme val="minor"/>
      </rPr>
      <t>(Συμπλήρωση υποχρεωτικά του 1ου πεδίου)</t>
    </r>
  </si>
  <si>
    <t>ΠΑΝΕΛΛΑΔΙΚΑ</t>
  </si>
  <si>
    <t>ΤΚ Τερματικό Σημείο</t>
  </si>
  <si>
    <t>Ενέργεια</t>
  </si>
  <si>
    <r>
      <t xml:space="preserve">Άλλος τύπος συσκευής
</t>
    </r>
    <r>
      <rPr>
        <b/>
        <sz val="9"/>
        <color rgb="FFC00000"/>
        <rFont val="Calibri"/>
        <family val="2"/>
        <charset val="161"/>
        <scheme val="minor"/>
      </rPr>
      <t>(συμπληρώνεται μόνο όταν στις «Τερματικές συσκευές» επιλεγεί «Άλλο»)</t>
    </r>
  </si>
  <si>
    <r>
      <t xml:space="preserve">Χρόνος Παρόχου
(ημέρες)
</t>
    </r>
    <r>
      <rPr>
        <b/>
        <sz val="9"/>
        <color rgb="FFC00000"/>
        <rFont val="Calibri"/>
        <family val="2"/>
        <charset val="161"/>
        <scheme val="minor"/>
      </rPr>
      <t>(Αριθμητική τιμή με 2 δεκαδικά)</t>
    </r>
  </si>
  <si>
    <r>
      <t xml:space="preserve">Ποσοστό Παραγγελιών που έχουν Ολοκληρωθεί μέχρι Ημερομηνία που Συμφωνήθηκε με Πελάτη (%)
</t>
    </r>
    <r>
      <rPr>
        <b/>
        <sz val="9"/>
        <color rgb="FFC00000"/>
        <rFont val="Calibri"/>
        <family val="2"/>
        <charset val="161"/>
        <scheme val="minor"/>
      </rPr>
      <t>(Αριθμητική τιμή με 2 δεκαδικά)</t>
    </r>
  </si>
  <si>
    <t xml:space="preserve">Χρόνος Παρόχου
(ημέρες)
</t>
  </si>
  <si>
    <t>Χρόνος Παρόχου
(ημέρες)</t>
  </si>
  <si>
    <r>
      <t xml:space="preserve">Αριθμός Παραδεκτών Αναφορών Βλάβης
</t>
    </r>
    <r>
      <rPr>
        <b/>
        <sz val="9"/>
        <color rgb="FFC00000"/>
        <rFont val="Calibri"/>
        <family val="2"/>
        <charset val="161"/>
        <scheme val="minor"/>
      </rPr>
      <t>(Ακέραια αριθμητική τιμή)</t>
    </r>
  </si>
  <si>
    <r>
      <t xml:space="preserve">Μέση Τιμή Γραμμών Πρόσβασης
</t>
    </r>
    <r>
      <rPr>
        <b/>
        <sz val="9"/>
        <color rgb="FFC00000"/>
        <rFont val="Calibri"/>
        <family val="2"/>
        <charset val="161"/>
        <scheme val="minor"/>
      </rPr>
      <t>(Ακέραια αριθμητική τιμή)</t>
    </r>
  </si>
  <si>
    <r>
      <t xml:space="preserve">Χρόνος Παρόχου για αποκατάσταση βλαβών γραμμής πρόσβασης
(ώρες)
</t>
    </r>
    <r>
      <rPr>
        <b/>
        <sz val="9"/>
        <color rgb="FFC00000"/>
        <rFont val="Calibri"/>
        <family val="2"/>
        <charset val="161"/>
        <scheme val="minor"/>
      </rPr>
      <t>(αριθμητική τιμή με 2 δεκαδικά)</t>
    </r>
  </si>
  <si>
    <r>
      <t xml:space="preserve">Χρόνος Διαχειριστή για αποκατάσταση βλαβών γραμμής πρόσβασης
(ώρες)
</t>
    </r>
    <r>
      <rPr>
        <b/>
        <sz val="9"/>
        <color rgb="FFC00000"/>
        <rFont val="Calibri"/>
        <family val="2"/>
        <charset val="161"/>
        <scheme val="minor"/>
      </rPr>
      <t>(αριθμητική τιμή με 2 δεκαδικά)</t>
    </r>
  </si>
  <si>
    <t>Συνολικός Χρόνος για αποκατάσταση βλαβών γραμμής πρόσβασης
(ώρες)</t>
  </si>
  <si>
    <r>
      <t xml:space="preserve">Συνολικός Χρόνος για αποκατάσταση υπολοίπων βλαβών
(ώρες)
</t>
    </r>
    <r>
      <rPr>
        <b/>
        <sz val="9"/>
        <color rgb="FFC00000"/>
        <rFont val="Calibri"/>
        <family val="2"/>
        <charset val="161"/>
        <scheme val="minor"/>
      </rPr>
      <t>(Ακέραια αριθμητική τιμή)</t>
    </r>
  </si>
  <si>
    <r>
      <t xml:space="preserve">Ημερομηνία τελευταίας μεταβολής
</t>
    </r>
    <r>
      <rPr>
        <b/>
        <sz val="9"/>
        <color rgb="FFC00000"/>
        <rFont val="Calibri"/>
        <family val="2"/>
        <charset val="161"/>
        <scheme val="minor"/>
      </rPr>
      <t>(Ημερομηνία με τη μορφή ΗΗ/ΜΜ/ΕΕΕΕ)</t>
    </r>
  </si>
  <si>
    <t>Συνολικός χρόνος
(ημέρες)</t>
  </si>
  <si>
    <r>
      <t xml:space="preserve">Χρόνος Διαχειριστή
(ημέρες)
</t>
    </r>
    <r>
      <rPr>
        <b/>
        <sz val="9"/>
        <color rgb="FFC00000"/>
        <rFont val="Calibri"/>
        <family val="2"/>
        <charset val="161"/>
        <scheme val="minor"/>
      </rPr>
      <t>(Αριθμητική τιμή με 2 δεκαδικά, σε περίπτωση που ο διαχειριστής της γραμμής (π.χ. ΟΤΕ) είναι διαφορετικός από τον πάροχο της υπηρεσίας)</t>
    </r>
  </si>
  <si>
    <r>
      <t xml:space="preserve">Χρόνος Διαχειριστή για αποκατάσταση βλαβών γραμμής πρόσβασης
(ώρες)
</t>
    </r>
    <r>
      <rPr>
        <b/>
        <sz val="9"/>
        <color rgb="FFC00000"/>
        <rFont val="Calibri"/>
        <family val="2"/>
        <charset val="161"/>
        <scheme val="minor"/>
      </rPr>
      <t>(αριθμητική τιμή με 2 δεκαδικά, σε περίπτωση που ο διαχειριστής της γραμμής (π.χ. ΟΤΕ) είναι διαφορετικός από τον πάροχο της υπηρεσίας)</t>
    </r>
  </si>
  <si>
    <t>Πρέπει να συμπληρωθούν υποχρεωτικά χρόνοι παρόχου ή/και Διαχειριστή</t>
  </si>
  <si>
    <t xml:space="preserve">  |  Ο συνολικός χρόνος του 50% των ταχύτερα ικανοποιούμενων παραγγελιών δεν μπορεί να είναι μεγαλύτερος του αντίστοιχου χρόνου για το 95%</t>
  </si>
  <si>
    <t xml:space="preserve">  |  Ο χρόνος παρόχου του 50% των ταχύτερα ικανοποιούμενων παραγγελιών δεν μπορεί να είναι μεγαλύτερος του αντίστοιχου χρόνου για το 95%</t>
  </si>
  <si>
    <t xml:space="preserve">  |  Ο χρόνος διαχειριστή του 50% των ταχύτερα ικανοποιούμενων παραγγελιών δεν μπορεί να είναι μεγαλύτερος του αντίστοιχου χρόνου για το 95%</t>
  </si>
  <si>
    <t xml:space="preserve">  |  Το Ποσοστό Παραγγελιών που έχουν Ολοκληρωθεί μέχρι Ημερομηνία που Συμφωνήθηκε με Πελάτη πρέπει να είναι αριθμός από 0 έως 100</t>
  </si>
  <si>
    <t>ΤΚ στα οποία πραγματοποιήθηκαν μετρήσεις</t>
  </si>
  <si>
    <t>Αβδήρων</t>
  </si>
  <si>
    <t>Αλεξανδρούπολης</t>
  </si>
  <si>
    <t>Αρριανών</t>
  </si>
  <si>
    <t>Διδυμοτείχου</t>
  </si>
  <si>
    <t>Δοξάτου</t>
  </si>
  <si>
    <t>Δράμας</t>
  </si>
  <si>
    <t>Θάσου</t>
  </si>
  <si>
    <t>Ιάσμου</t>
  </si>
  <si>
    <t>Καβάλας</t>
  </si>
  <si>
    <t>Κάτω Νευροκοπίου</t>
  </si>
  <si>
    <t>Κομοτηνής</t>
  </si>
  <si>
    <t>Μαρωνείας - Σαπών</t>
  </si>
  <si>
    <t>Μύκης</t>
  </si>
  <si>
    <t>Νέστου</t>
  </si>
  <si>
    <t>Ξάνθης</t>
  </si>
  <si>
    <t>Ορεστιάδας</t>
  </si>
  <si>
    <t>Παγγαίου</t>
  </si>
  <si>
    <t>Παρανεστίου</t>
  </si>
  <si>
    <t>Προσοτσάνης</t>
  </si>
  <si>
    <t>Σαμοθράκης</t>
  </si>
  <si>
    <t>Σουφλίου</t>
  </si>
  <si>
    <t>Τοπείρου</t>
  </si>
  <si>
    <t>Αγίας Βαρβάρας</t>
  </si>
  <si>
    <t>Αγίας Παρασκευής</t>
  </si>
  <si>
    <t>Αγίου Δημητρίου</t>
  </si>
  <si>
    <t>Αγίων Αναργύρων - Καματερού</t>
  </si>
  <si>
    <t>Αγκιστρίου</t>
  </si>
  <si>
    <t>Αθηναίων</t>
  </si>
  <si>
    <t>Αιγάλεω</t>
  </si>
  <si>
    <t>Αίγινας</t>
  </si>
  <si>
    <t>Αλίμου</t>
  </si>
  <si>
    <t>Αμαρουσίου</t>
  </si>
  <si>
    <t>Ασπροπύργου</t>
  </si>
  <si>
    <t>Αχαρνών</t>
  </si>
  <si>
    <t>Βάρης - Βούλας - Βουλιαγμένης</t>
  </si>
  <si>
    <t>Βριλησσίων</t>
  </si>
  <si>
    <t>Βύρωνος</t>
  </si>
  <si>
    <t>Γαλατσίου</t>
  </si>
  <si>
    <t>Γλυφάδας</t>
  </si>
  <si>
    <t>Δάφνης - Υμηττού</t>
  </si>
  <si>
    <t>Διονύσου</t>
  </si>
  <si>
    <t>Ελευσίνας</t>
  </si>
  <si>
    <t>Ελληνικού - Αργυρούπολης</t>
  </si>
  <si>
    <t>Ζωγράφου</t>
  </si>
  <si>
    <t>Ηλιούπολης</t>
  </si>
  <si>
    <t>Ιλίου</t>
  </si>
  <si>
    <t>Καισαριανής</t>
  </si>
  <si>
    <t>Καλλιθέας</t>
  </si>
  <si>
    <t>Κερατσινίου - Δραπετσώνας</t>
  </si>
  <si>
    <t>Κηφισιάς</t>
  </si>
  <si>
    <t>Κορυδαλλού</t>
  </si>
  <si>
    <t>Κρωπίας</t>
  </si>
  <si>
    <t>Κυθήρων</t>
  </si>
  <si>
    <t>Λαυρεωτικής</t>
  </si>
  <si>
    <t>Λυκόβρυσης - Πεύκης</t>
  </si>
  <si>
    <t>Μάνδρας - Ειδυλλίας</t>
  </si>
  <si>
    <t>Μαραθώνος</t>
  </si>
  <si>
    <t>Μαρκοπούλου Μεσογαίας</t>
  </si>
  <si>
    <t>Μεγαρέων</t>
  </si>
  <si>
    <t>Μεταμορφώσεως</t>
  </si>
  <si>
    <t>Μοσχάτου - Ταύρου</t>
  </si>
  <si>
    <t>Νέας Ιωνίας</t>
  </si>
  <si>
    <t>Νέας Σμύρνης</t>
  </si>
  <si>
    <t>Νίκαιας - Αγίου Ι. Ρέντη</t>
  </si>
  <si>
    <t>Παιανίας</t>
  </si>
  <si>
    <t>Παλαιού Φαλήρου</t>
  </si>
  <si>
    <t>Παλλήνης</t>
  </si>
  <si>
    <t>Παπάγου - Χολαργού</t>
  </si>
  <si>
    <t>Πειραιώς</t>
  </si>
  <si>
    <t>Πεντέλης</t>
  </si>
  <si>
    <t>Περάματος</t>
  </si>
  <si>
    <t>Περιστερίου</t>
  </si>
  <si>
    <t>Πετρούπολης</t>
  </si>
  <si>
    <t>Πόρου</t>
  </si>
  <si>
    <t>Ραφήνας - Πικερμίου</t>
  </si>
  <si>
    <t>Σαλαμίνας</t>
  </si>
  <si>
    <t>Σαρωνικού</t>
  </si>
  <si>
    <t>Σπάτων - Αρτέμιδος</t>
  </si>
  <si>
    <t>Σπετσών</t>
  </si>
  <si>
    <t>Τροιζηνίας</t>
  </si>
  <si>
    <t>Ύδρας</t>
  </si>
  <si>
    <t>Φιλαδελφείας - Χαλκηδόνος</t>
  </si>
  <si>
    <t>Φιλοθέης - Ψυχικού</t>
  </si>
  <si>
    <t>Φυλής</t>
  </si>
  <si>
    <t>Χαϊδαρίου</t>
  </si>
  <si>
    <t>Χαλανδρίου</t>
  </si>
  <si>
    <t>Ωρωπού</t>
  </si>
  <si>
    <t>Αγίου Ευστρατίου</t>
  </si>
  <si>
    <t>Ικαρίας</t>
  </si>
  <si>
    <t>Λέσβου</t>
  </si>
  <si>
    <t>Λήμνου</t>
  </si>
  <si>
    <t>Οινουσσών</t>
  </si>
  <si>
    <t>Σάμου</t>
  </si>
  <si>
    <t>Φούρνων Κορσεών</t>
  </si>
  <si>
    <t>Χίου</t>
  </si>
  <si>
    <t>Ψαρών</t>
  </si>
  <si>
    <t>Αγρινίου</t>
  </si>
  <si>
    <t>Αιγιαλείας</t>
  </si>
  <si>
    <t>Άκτιου - Βόνιτσας</t>
  </si>
  <si>
    <t>Αμφιλοχίας</t>
  </si>
  <si>
    <t>Ανδραβίδας - Κυλλήνης</t>
  </si>
  <si>
    <t>Ανδρίτσαινας - Κρεστένων</t>
  </si>
  <si>
    <t>Αρχαίας Ολυμπίας</t>
  </si>
  <si>
    <t>Δυτικής Αχαΐας</t>
  </si>
  <si>
    <t>Ερυμάνθου</t>
  </si>
  <si>
    <t>Ζαχάρως</t>
  </si>
  <si>
    <t>Ήλιδας</t>
  </si>
  <si>
    <t>Θέρμου</t>
  </si>
  <si>
    <t>Ιεράς Πόλης Μεσολογγίου</t>
  </si>
  <si>
    <t>Καλαβρύτων</t>
  </si>
  <si>
    <t>Ναυπακτίας</t>
  </si>
  <si>
    <t>Ξηρομέρου</t>
  </si>
  <si>
    <t>Πατρέων</t>
  </si>
  <si>
    <t>Πηνειού</t>
  </si>
  <si>
    <t>Πύργου</t>
  </si>
  <si>
    <t>Αμυνταίου</t>
  </si>
  <si>
    <t>Βοϊου</t>
  </si>
  <si>
    <t>Γρεβενών</t>
  </si>
  <si>
    <t>Δεσκάτης</t>
  </si>
  <si>
    <t>Εορδαίας</t>
  </si>
  <si>
    <t>Καστοριάς</t>
  </si>
  <si>
    <t>Κοζάνης</t>
  </si>
  <si>
    <t>Νεστορίου</t>
  </si>
  <si>
    <t>Ορεστίδος</t>
  </si>
  <si>
    <t>Πρεσπών</t>
  </si>
  <si>
    <t>Σερβίων - Βελβεντού</t>
  </si>
  <si>
    <t>Φλώρινας</t>
  </si>
  <si>
    <t>Αρταίων</t>
  </si>
  <si>
    <t>Βορείων Τζουμέρκων</t>
  </si>
  <si>
    <t>Γεωργίου Καραϊσκάκη</t>
  </si>
  <si>
    <t>Δωδώνης</t>
  </si>
  <si>
    <t>Ζαγορίου</t>
  </si>
  <si>
    <t>Ζηρού</t>
  </si>
  <si>
    <t>Ζίτσας</t>
  </si>
  <si>
    <t>Ηγουμενίτσας</t>
  </si>
  <si>
    <t>Ιωαννιτών</t>
  </si>
  <si>
    <t>Κεντρικών Τζουμέρκων</t>
  </si>
  <si>
    <t>Κόνιτσας</t>
  </si>
  <si>
    <t>Μετσόβου</t>
  </si>
  <si>
    <t>Νικολάου Σκουφά</t>
  </si>
  <si>
    <t>Πάργας</t>
  </si>
  <si>
    <t>Πρέβεζας</t>
  </si>
  <si>
    <t>Πωγωνίου</t>
  </si>
  <si>
    <t>Σουλίου</t>
  </si>
  <si>
    <t>Φιλιατών</t>
  </si>
  <si>
    <t>Αγιάς</t>
  </si>
  <si>
    <t>Αλμυρού</t>
  </si>
  <si>
    <t>Αλοννήσου</t>
  </si>
  <si>
    <t>Αργιθέας</t>
  </si>
  <si>
    <t>Βόλου</t>
  </si>
  <si>
    <t>Ελασσόνας</t>
  </si>
  <si>
    <t>Ζαγοράς - Μουρεσίου</t>
  </si>
  <si>
    <t>Καλαμπάκας</t>
  </si>
  <si>
    <t>Καρδίτσας</t>
  </si>
  <si>
    <t>Κιλελέρ</t>
  </si>
  <si>
    <t>Λαρισαίων</t>
  </si>
  <si>
    <t>Λίμνης Πλαστήρα</t>
  </si>
  <si>
    <t>Μουζακίου</t>
  </si>
  <si>
    <t>Νοτίου Πηλίου</t>
  </si>
  <si>
    <t>Παλαμά</t>
  </si>
  <si>
    <t>Πύλης</t>
  </si>
  <si>
    <t>Ρήγα Φερραίου</t>
  </si>
  <si>
    <t>Σκιάθου</t>
  </si>
  <si>
    <t>Σκοπέλου</t>
  </si>
  <si>
    <t>Σοφάδων</t>
  </si>
  <si>
    <t>Τεμπών</t>
  </si>
  <si>
    <t>Τρικκαίων</t>
  </si>
  <si>
    <t>Τυρνάβου</t>
  </si>
  <si>
    <t>Φαρκαδόνας</t>
  </si>
  <si>
    <t>Φαρσάλων</t>
  </si>
  <si>
    <t>Ζακύνθου</t>
  </si>
  <si>
    <t>Ιθάκης</t>
  </si>
  <si>
    <t>Κέρκυρας</t>
  </si>
  <si>
    <t>Κεφαλονιάς</t>
  </si>
  <si>
    <t>Λευκάδας</t>
  </si>
  <si>
    <t>Μεγανησίου</t>
  </si>
  <si>
    <t>Παξών</t>
  </si>
  <si>
    <t>Αλεξάνδρειας</t>
  </si>
  <si>
    <t>Αλμωπίας</t>
  </si>
  <si>
    <t>Αμπελοκήπων - Μενεμένης</t>
  </si>
  <si>
    <t>Αμφίπολης</t>
  </si>
  <si>
    <t>Αριστοτέλη</t>
  </si>
  <si>
    <t>Βέροιας</t>
  </si>
  <si>
    <t>Βισαλτίας</t>
  </si>
  <si>
    <t>Βόλβης</t>
  </si>
  <si>
    <t>Δέλτα</t>
  </si>
  <si>
    <t>Δίου - Ολύμπου</t>
  </si>
  <si>
    <t>Έδεσσας</t>
  </si>
  <si>
    <t>Εμμανουήλ Παππά</t>
  </si>
  <si>
    <t>Ηρακλείας</t>
  </si>
  <si>
    <t>Θερμαϊκού</t>
  </si>
  <si>
    <t>Θέρμης</t>
  </si>
  <si>
    <t>Θεσσαλονίκης</t>
  </si>
  <si>
    <t>Καλαμαριάς</t>
  </si>
  <si>
    <t>Κασσάνδρας</t>
  </si>
  <si>
    <t>Κατερίνης</t>
  </si>
  <si>
    <t>Κιλκίς</t>
  </si>
  <si>
    <t>Κορδελιού - Ευόσμου</t>
  </si>
  <si>
    <t>Λαγκαδά</t>
  </si>
  <si>
    <t>Νάουσας</t>
  </si>
  <si>
    <t>Νέαπολης - Συκεών</t>
  </si>
  <si>
    <t>Νέας Ζίχνης</t>
  </si>
  <si>
    <t>Νέας Προποντίδας</t>
  </si>
  <si>
    <t>Παιονίας</t>
  </si>
  <si>
    <t>Παύλου Μελά</t>
  </si>
  <si>
    <t>Πέλλας</t>
  </si>
  <si>
    <t>Πολυγύρου</t>
  </si>
  <si>
    <t>Πύδνας - Κολινδρού</t>
  </si>
  <si>
    <t>Πυλαίας - Χορτιάτη</t>
  </si>
  <si>
    <t>Σερρών</t>
  </si>
  <si>
    <t>Σιθωνίας</t>
  </si>
  <si>
    <t>Σιντικής</t>
  </si>
  <si>
    <t>Σκύδρας</t>
  </si>
  <si>
    <t>Χαλκηδόνος</t>
  </si>
  <si>
    <t>Ωραιοκάστρου</t>
  </si>
  <si>
    <t>Αγίου Βασιλείου</t>
  </si>
  <si>
    <t>Αγίου Νικολάου</t>
  </si>
  <si>
    <t>Αμάριου</t>
  </si>
  <si>
    <t>Ανωγείων</t>
  </si>
  <si>
    <t>Αποκορώνου</t>
  </si>
  <si>
    <t>Αρχανών - Αστερουσίων</t>
  </si>
  <si>
    <t>Βιάννου</t>
  </si>
  <si>
    <t>Γαύδου</t>
  </si>
  <si>
    <t>Γόρτυνας</t>
  </si>
  <si>
    <t>Ηρακλείου</t>
  </si>
  <si>
    <t>Ιεράπετρας</t>
  </si>
  <si>
    <t>Καντάνου - Σέλινου</t>
  </si>
  <si>
    <t>Κισσάμου</t>
  </si>
  <si>
    <t>Μαλεβιζίου</t>
  </si>
  <si>
    <t>Μινώα Πεδιάδας</t>
  </si>
  <si>
    <t>Μυλοποτάμου</t>
  </si>
  <si>
    <t>Οροπεδίου Λασιθίου</t>
  </si>
  <si>
    <t>Πλατανιά</t>
  </si>
  <si>
    <t>Ρεθύμνης</t>
  </si>
  <si>
    <t>Σητείας</t>
  </si>
  <si>
    <t>Σφακίων</t>
  </si>
  <si>
    <t>Φαιστού</t>
  </si>
  <si>
    <t>Χανίων</t>
  </si>
  <si>
    <t>Χερσονήσου</t>
  </si>
  <si>
    <t>Αγαθονησίου</t>
  </si>
  <si>
    <t>Αμοργού</t>
  </si>
  <si>
    <t>Ανάφης</t>
  </si>
  <si>
    <t>Άνδρου</t>
  </si>
  <si>
    <t>Αντιπάρου</t>
  </si>
  <si>
    <t>Αστυπαλαίας</t>
  </si>
  <si>
    <t>Θήρας</t>
  </si>
  <si>
    <t>Ιητών</t>
  </si>
  <si>
    <t>Καλυμνίων</t>
  </si>
  <si>
    <t>Καρπάθου</t>
  </si>
  <si>
    <t>Κάσου</t>
  </si>
  <si>
    <t>Κέας</t>
  </si>
  <si>
    <t>Κιμώλου</t>
  </si>
  <si>
    <t>Κύθνου</t>
  </si>
  <si>
    <t>Κω</t>
  </si>
  <si>
    <t>Λειψών</t>
  </si>
  <si>
    <t>Λέρου</t>
  </si>
  <si>
    <t>Μεγίστης</t>
  </si>
  <si>
    <t>Μήλου</t>
  </si>
  <si>
    <t>Μυκόνου</t>
  </si>
  <si>
    <t>Νάξου &amp; Μικρών Κυκλάδων</t>
  </si>
  <si>
    <t>Νισύρου</t>
  </si>
  <si>
    <t>Πάρου</t>
  </si>
  <si>
    <t>Πάτμου</t>
  </si>
  <si>
    <t>Ρόδου</t>
  </si>
  <si>
    <t>Σερίφου</t>
  </si>
  <si>
    <t>Σικίνου</t>
  </si>
  <si>
    <t>Σίφνου</t>
  </si>
  <si>
    <t>Σύμης</t>
  </si>
  <si>
    <t>Σύρου - Ερμούπολης</t>
  </si>
  <si>
    <t>Τήλου</t>
  </si>
  <si>
    <t>Τήνου</t>
  </si>
  <si>
    <t>Φολεγάνδρου</t>
  </si>
  <si>
    <t>Χάλκης</t>
  </si>
  <si>
    <t>Ανατολικής Μάνης</t>
  </si>
  <si>
    <t>Άργους - Μυκηνών</t>
  </si>
  <si>
    <t>Βέλου - Βόχας</t>
  </si>
  <si>
    <t>Βόρειας Κυνουρίας</t>
  </si>
  <si>
    <t>Γορτυνίας</t>
  </si>
  <si>
    <t>Δυτικής Μάνης</t>
  </si>
  <si>
    <t>Ελαφονήσου</t>
  </si>
  <si>
    <t>Επιδαύρου</t>
  </si>
  <si>
    <t>Ερμιονίδας</t>
  </si>
  <si>
    <t>Ευρώτα</t>
  </si>
  <si>
    <t>Καλαμάτας</t>
  </si>
  <si>
    <t>Κορινθίων</t>
  </si>
  <si>
    <t>Λουτρακίου - Αγ. Θεοδώρων</t>
  </si>
  <si>
    <t>Μεγαλόπολης</t>
  </si>
  <si>
    <t>Μεσσήνης</t>
  </si>
  <si>
    <t>Μονεμβασιάς</t>
  </si>
  <si>
    <t>Ναυπλιέων</t>
  </si>
  <si>
    <t>Νεμέας</t>
  </si>
  <si>
    <t>Νότιας Κυνουρίας</t>
  </si>
  <si>
    <t>Ξυλοκάστρου - Ευρωστίνης</t>
  </si>
  <si>
    <t>Οιχαλίας</t>
  </si>
  <si>
    <t>Πύλου - Νέστορος</t>
  </si>
  <si>
    <t>Σικυωνίων</t>
  </si>
  <si>
    <t>Σπάρτης</t>
  </si>
  <si>
    <t>Τρίπολης</t>
  </si>
  <si>
    <t>Τριφυλίας</t>
  </si>
  <si>
    <t>Αγράφων</t>
  </si>
  <si>
    <t>Αλιάρτου</t>
  </si>
  <si>
    <t>Αμφίκλειας - Ελάτειας</t>
  </si>
  <si>
    <t>Δελφών</t>
  </si>
  <si>
    <t>Διρφύων - Μεσσαπίων</t>
  </si>
  <si>
    <t>Διστόμου-Αράχοβας - Αντίκυρας</t>
  </si>
  <si>
    <t>Δομοκού</t>
  </si>
  <si>
    <t>Δωρίδος</t>
  </si>
  <si>
    <t>Ερέτριας</t>
  </si>
  <si>
    <t>Θηβαίων</t>
  </si>
  <si>
    <t>Ιστιαίας - Αιδηψού</t>
  </si>
  <si>
    <t>Καρπενησίου</t>
  </si>
  <si>
    <t>Καρύστου</t>
  </si>
  <si>
    <t>Κύμης - Αλιβερίου</t>
  </si>
  <si>
    <t>Λαμιέων</t>
  </si>
  <si>
    <t>Λεβαδέων</t>
  </si>
  <si>
    <t>Λοκρών</t>
  </si>
  <si>
    <t>Μακρακώμης</t>
  </si>
  <si>
    <t>Μαντουδίου - Λίμνης - Αγίας Άννας</t>
  </si>
  <si>
    <t>Μώλου - Αγ. Κωνσταντίνου</t>
  </si>
  <si>
    <t>Ορχομενού</t>
  </si>
  <si>
    <t>Σκύρου</t>
  </si>
  <si>
    <t>Στυλίδας</t>
  </si>
  <si>
    <t>Τανάγρας</t>
  </si>
  <si>
    <t>Χαλκιδέων</t>
  </si>
  <si>
    <t>Orchard_Measurement_Id</t>
  </si>
  <si>
    <t>Orchard_Route_Title</t>
  </si>
  <si>
    <t>Data for User Packet-1</t>
  </si>
  <si>
    <t>Data for User Packet-2</t>
  </si>
  <si>
    <t>Area ID for
Orchard Packet-1</t>
  </si>
  <si>
    <t>Area Name for
Orchard Packet-1</t>
  </si>
  <si>
    <t>Orchard ID Sum Packet-1</t>
  </si>
  <si>
    <t>Orchard Name Sum Packet-1</t>
  </si>
  <si>
    <t>Area ID for
Orchard Packet-2</t>
  </si>
  <si>
    <t>Area Name for
Orchard Packet-2</t>
  </si>
  <si>
    <t>Orchard ID Sum
Packet-2</t>
  </si>
  <si>
    <t>Orchard Name Sum
Packet-2</t>
  </si>
  <si>
    <t xml:space="preserve">  |  Ο συνολικός χρόνος του 50% των ταχύτερα αποκατεστημένων βλαβών γραμμής πρόσβασης δεν μπορεί να είναι μεγαλύτερος του αντίστοιχου χρόνου για το 95%</t>
  </si>
  <si>
    <t xml:space="preserve">  |  Ο χρόνος παρόχου του 50% των ταχύτερα αποκατεστημένων βλαβών γραμμής πρόσβασης δεν μπορεί να είναι μεγαλύτερος του αντίστοιχου χρόνου για το 95%</t>
  </si>
  <si>
    <t xml:space="preserve">  |  Ο χρόνος διαχειριστή του 50% των ταχύτερα αποκατεστημένων βλαβών γραμμής πρόσβασης δεν μπορεί να είναι μεγαλύτερος του αντίστοιχου χρόνου για το 95%</t>
  </si>
  <si>
    <t xml:space="preserve">  |  Ο χρόνος 50% των ταχύτερα αποκατεστημένων βλαβών δεν μπορεί να είναι μεγαλύτερος του αντίστοιχου χρόνου για το 95%</t>
  </si>
  <si>
    <t xml:space="preserve">  |  Πρέπει να συμπληρωθούν υποχρεωτικά ο συνολικός Χρόνος για αποκατάσταση υπολοίπων βλαβών</t>
  </si>
  <si>
    <t xml:space="preserve">  |  Ο χρόνος του 50% των ταχύτερα αποκατεστημένων υπολοίπων βλαβών δεν μπορεί να είναι μεγαλύτερος του αντίστοιχου χρόνου για το 95%</t>
  </si>
  <si>
    <t>ΕΛΕΓΧΟΣ ΣΤΟΙΧΕΙΩΝ ΠΑΡΟΧΟΥ
ΚΑΙ ΠΕΡΙΟΔΟΥ ΜΕΤΡΗΣΗΣ:</t>
  </si>
  <si>
    <t>FaultSubmissionInfo</t>
  </si>
  <si>
    <r>
      <t xml:space="preserve">Διάταξη αναφοράς
</t>
    </r>
    <r>
      <rPr>
        <b/>
        <sz val="9"/>
        <color rgb="FFC00000"/>
        <rFont val="Calibri"/>
        <family val="2"/>
        <charset val="161"/>
        <scheme val="minor"/>
      </rPr>
      <t>(Αν γίνουν μετρήσεις και για διαφορετική διάταξη αναφοράς να προστεθεί η τιμή "2")</t>
    </r>
  </si>
  <si>
    <r>
      <t>Αριθμός Πακέτου 1
ΤΚ στα οποία πραγματοποιήθηκαν μετρήσεις για τον ΔΠ Β01
(</t>
    </r>
    <r>
      <rPr>
        <b/>
        <sz val="10"/>
        <color rgb="FFC00000"/>
        <rFont val="Calibri"/>
        <family val="2"/>
        <charset val="161"/>
        <scheme val="minor"/>
      </rPr>
      <t>Επιλέξετε έως 14)</t>
    </r>
  </si>
  <si>
    <r>
      <t>Αριθμός Πακέτου 2
ΤΚ στα οποία πραγματοποιήθηκαν μετρήσεις για τον ΔΠ Β01
(</t>
    </r>
    <r>
      <rPr>
        <b/>
        <sz val="10"/>
        <color rgb="FFC00000"/>
        <rFont val="Calibri"/>
        <family val="2"/>
        <charset val="161"/>
        <scheme val="minor"/>
      </rPr>
      <t>Επιλέξετε έως 14)</t>
    </r>
  </si>
  <si>
    <r>
      <t xml:space="preserve">Τιμή
(Mbps)
</t>
    </r>
    <r>
      <rPr>
        <b/>
        <sz val="9"/>
        <color rgb="FFC00000"/>
        <rFont val="Calibri"/>
        <family val="2"/>
        <charset val="161"/>
        <scheme val="minor"/>
      </rPr>
      <t xml:space="preserve">(αριθμητική τιμή με 2 δεκαδικά, Αν το κελί γίνει πορτοκαλί υπάρχει </t>
    </r>
    <r>
      <rPr>
        <b/>
        <u/>
        <sz val="9"/>
        <color rgb="FFC00000"/>
        <rFont val="Calibri"/>
        <family val="2"/>
        <charset val="161"/>
        <scheme val="minor"/>
      </rPr>
      <t>πιθανότητα</t>
    </r>
    <r>
      <rPr>
        <b/>
        <sz val="9"/>
        <color rgb="FFC00000"/>
        <rFont val="Calibri"/>
        <family val="2"/>
        <charset val="161"/>
        <scheme val="minor"/>
      </rPr>
      <t xml:space="preserve"> σφάλματος)</t>
    </r>
  </si>
  <si>
    <t>Περιοχές</t>
  </si>
  <si>
    <t>totalareas</t>
  </si>
  <si>
    <t>Ηρακλείου Αττικής</t>
  </si>
  <si>
    <t>WIND</t>
  </si>
  <si>
    <t>TransmitDirection2</t>
  </si>
  <si>
    <r>
      <t xml:space="preserve">Ονομαστική Ταχύτητα
</t>
    </r>
    <r>
      <rPr>
        <b/>
        <sz val="9"/>
        <color rgb="FFC00000"/>
        <rFont val="Calibri"/>
        <family val="2"/>
        <charset val="161"/>
        <scheme val="minor"/>
      </rPr>
      <t>(Λαμβάνεται από τις δύο πρώτες γραμμές της επόμενης στήλης για κάθε πακέτο ονομαστικής ταχύτητας)</t>
    </r>
  </si>
  <si>
    <t>Ονομαστικές
τιμές Upload</t>
  </si>
  <si>
    <t>Ονομαστικές
τιμές Download</t>
  </si>
  <si>
    <t>VODAFONE</t>
  </si>
  <si>
    <t>ΚΡΗΤΗΣ - ΗΡΑΚΛΕΙΟΥ</t>
  </si>
  <si>
    <t>ΘΕΣΣΑΛΙΑΣ - ΛΑΡΙΣΑΙΩΝ</t>
  </si>
  <si>
    <t>ΗΠΕΙΡΟΥ - ΙΩΑΝΝΙΤΩΝ</t>
  </si>
  <si>
    <t>ΑΝΑΤΟΛΙΚΗΣ ΜΑΚΕΔΟΝΙΑΣ ΚΑΙ ΘΡΑΚΗΣ - ΚΑΒΑΛΑΣ</t>
  </si>
  <si>
    <t>ΔΥΤΙΚΗΣ ΕΛΛΑΔΑΣ - ΠΑΤΡΕΩΝ</t>
  </si>
  <si>
    <t>ΣΤΕΡΕΑΣ ΕΛΛΑΔΑΣ - ΛΑΜΙΕΩΝ</t>
  </si>
  <si>
    <t>ΠΕΛΟΠΟΝΝΗΣΟΥ - ΚΟΡΙΝΘΙΩΝ</t>
  </si>
  <si>
    <t>ΣΤΕΡΕΑΣ ΕΛΛΑΔΑΣ - ΧΑΛΚΙΔΕΩΝ</t>
  </si>
  <si>
    <t>ΑΤΤΙΚΗΣ - ΑΘΗΝΑΙΩΝ</t>
  </si>
  <si>
    <t>ΚΕΝΤΡΙΚΗΣ ΜΑΚΕΔΟΝΙΑΣ - ΠΕΛΛΑΣ</t>
  </si>
  <si>
    <t>ΚΕΝΤΡΙΚΗΣ ΜΑΚΕΔΟΝΙΑΣ - ΠΥΛΑΙΑΣ – ΧΟΡΤΙΑΤΗ</t>
  </si>
  <si>
    <t>Μέσω Τηλεφώνου (13877-215 50 13877/13878-215 50 13878)  ή 
μέσω E-mail: cytacc@hq.cyta.gr ή μέσω Fax (215 555 5900):  Δευτέρα - Παρασκευή: 08:00-22:00 &amp; Σάββατο : 09:00-17:00</t>
  </si>
  <si>
    <t>Οι συναντήσεις καθορίζονται αμοιβαία με τον πελάτη</t>
  </si>
  <si>
    <t>Οι αναφερόμενες ημερολογιακές ημέρες δεν σχετίζονται με το μέσο χρόνο ενεργοποίησης των υπηρεσιών Cyta. Ενδεικτικά, σε δείγμα 100 αιτήσεων με 1η αίτηση την ταχύτερα ενεργοποιημένη και 100η την αίτηση με το μεγαλύτερο χρόνο καθυστέρησης, βάσει του κανονισμού της ΕΕΤΤ, παρατίθενται οι χρόνοι για την 50η και 95η αίτηση αντίστοιχα, ώστε να φαίνονται ξεκάθαρα οι μέγιστοι χρόνοι αναμονής για ενεργοποίηση της υπηρεσίας.</t>
  </si>
  <si>
    <t xml:space="preserve">Μέσω Τηλεφώνου(13811-215 50 13811 - 13878- 215 5013878) ή Μέσω E-mail :techsupport@hq.cyta.gr  :Δευτέρα- Κυριακή &amp; αργίες:00:00-24:00. Οι χρεώσεις ορίζονται στον δείκτη Η01. 
</t>
  </si>
  <si>
    <t>Οι συναντήσεις καθορίζονται ανάλογα με την κρισιμότητα του περιστατικού, τον χρόνο δήλωσης βλάβης και την διαθεσιμότητα του πελάτη.</t>
  </si>
  <si>
    <t>Oι αναφερόμενες ώρες δεν σχετίζονται με το μέσο χρόνο επιδιόρθωσης βλαβών. Ενδεικτικά, σε δείγμα 100 βλαβών με 1η βλάβη την ταχύτερα επιδιορθωμένη και 100η την βλάβη με το μεγαλύτερο χρόνο καθυστέρησης, βάσει του κανονισμού της ΕΕΤΤ, παρατίθενται οι χρόνοι για την 50η και 95η βλάβη αντίστοιχα, ώστε να φαίνονται ξεκάθαρα οι μέγιστοι χρόνοι  για αποκατάσταση μιας βλάβης. Στους ανωτέρω χρόνους προσμετράται και ο χρόνος ολοκλήρωσης επιβεβαίωσης της αποκατάστασης με τον πελάτη.</t>
  </si>
  <si>
    <t>A) Στους συνδρομητές της υπηρεσίας Internet με δυναμική διεύθυνση (Dynamic IP),  επιτρέπεται μόνο η χρήση του mail server της Cyta Hellas για την εξερχόμενη αλληλογραφία. Για τους πελάτες με στατική διεύθυνση (Static IP) δεν ισχύει αυτός ο περιορισμός.
B) Για την ομαλή και ασφαλή λειτουργία του δικτύου, η Cyta Hellas πραγματοποιεί αποσύνδεση και επανασύνδεση των συνδρομητών της υπηρεσίας Internet κάθε είκοσι τέσσερις (24) ώρες. Η συγκεκριμένη λειτουργία εφαρμόζεται μόνο στις περιπτώσεις όπου η σύνδεση του συνδρομητή παραμένει ανενεργή (idle) για είκοσι τέσσερις (24) ώρες.</t>
  </si>
  <si>
    <t>A) Για την ασφάλεια του δικτύου της Cyta Hellas, οι πελάτες έχουν περιορισμένη πρόσβαση στις ρυθμίσεις του τερματικού εξοπλισμού (CPE) προς αποφυγή κακόβουλων ενεργειών.</t>
  </si>
  <si>
    <t>ΔΥΤΙΚΗΣ ΜΑΚΕΔΟΝΙΑΣ - ΟΡΕΣΤΙΔΟΣ</t>
  </si>
  <si>
    <t>ΑΤΤΙΚΗΣ - ΣΑΛΑΜΙΝΟΣ</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</si>
</sst>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2" x14ac:knownFonts="1">
    <font>
      <sz val="11"/>
      <color theme="1"/>
      <name val="Calibri"/>
      <family val="2"/>
      <charset val="161"/>
      <scheme val="minor"/>
    </font>
    <font>
      <b/>
      <sz val="11"/>
      <color theme="1"/>
      <name val="Calibri"/>
      <family val="2"/>
      <charset val="161"/>
      <scheme val="minor"/>
    </font>
    <font>
      <b/>
      <sz val="11"/>
      <color theme="5" tint="-0.499984740745262"/>
      <name val="Calibri"/>
      <family val="2"/>
      <charset val="161"/>
      <scheme val="minor"/>
    </font>
    <font>
      <sz val="11"/>
      <color theme="0" tint="-4.9989318521683403E-2"/>
      <name val="Calibri"/>
      <family val="2"/>
      <charset val="161"/>
      <scheme val="minor"/>
    </font>
    <font>
      <sz val="11"/>
      <name val="Calibri"/>
      <family val="2"/>
      <charset val="161"/>
      <scheme val="minor"/>
    </font>
    <font>
      <b/>
      <sz val="9"/>
      <color rgb="FFC00000"/>
      <name val="Calibri"/>
      <family val="2"/>
      <charset val="161"/>
      <scheme val="minor"/>
    </font>
    <font>
      <b/>
      <sz val="11"/>
      <color theme="0"/>
      <name val="Calibri"/>
      <family val="2"/>
      <charset val="161"/>
      <scheme val="minor"/>
    </font>
    <font>
      <sz val="11"/>
      <color theme="0"/>
      <name val="Calibri"/>
      <family val="2"/>
      <charset val="161"/>
      <scheme val="minor"/>
    </font>
    <font>
      <sz val="11"/>
      <color theme="1" tint="0.34998626667073579"/>
      <name val="Calibri"/>
      <family val="2"/>
      <charset val="161"/>
      <scheme val="minor"/>
    </font>
    <font>
      <b/>
      <sz val="10"/>
      <color rgb="FFC00000"/>
      <name val="Calibri"/>
      <family val="2"/>
      <charset val="161"/>
      <scheme val="minor"/>
    </font>
    <font>
      <sz val="11"/>
      <color rgb="FFFF0000"/>
      <name val="Calibri"/>
      <family val="2"/>
      <charset val="161"/>
      <scheme val="minor"/>
    </font>
    <font>
      <b/>
      <u/>
      <sz val="9"/>
      <color rgb="FFC00000"/>
      <name val="Calibri"/>
      <family val="2"/>
      <charset val="161"/>
      <scheme val="minor"/>
    </font>
  </fonts>
  <fills count="10">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1"/>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theme="8" tint="0.7999816888943144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theme="8" tint="-0.499984740745262"/>
      </left>
      <right style="medium">
        <color indexed="64"/>
      </right>
      <top style="medium">
        <color indexed="64"/>
      </top>
      <bottom style="double">
        <color indexed="64"/>
      </bottom>
      <diagonal/>
    </border>
    <border>
      <left style="thin">
        <color theme="8" tint="-0.499984740745262"/>
      </left>
      <right style="medium">
        <color indexed="64"/>
      </right>
      <top/>
      <bottom style="thin">
        <color indexed="64"/>
      </bottom>
      <diagonal/>
    </border>
    <border>
      <left style="thin">
        <color theme="8" tint="-0.499984740745262"/>
      </left>
      <right style="medium">
        <color indexed="64"/>
      </right>
      <top/>
      <bottom/>
      <diagonal/>
    </border>
    <border>
      <left style="thin">
        <color theme="8" tint="-0.499984740745262"/>
      </left>
      <right style="medium">
        <color indexed="64"/>
      </right>
      <top/>
      <bottom style="medium">
        <color theme="8" tint="-0.499984740745262"/>
      </bottom>
      <diagonal/>
    </border>
    <border>
      <left style="thin">
        <color indexed="64"/>
      </left>
      <right style="thin">
        <color indexed="64"/>
      </right>
      <top/>
      <bottom/>
      <diagonal/>
    </border>
    <border>
      <left style="thin">
        <color indexed="64"/>
      </left>
      <right style="medium">
        <color indexed="64"/>
      </right>
      <top style="double">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theme="8" tint="-0.499984740745262"/>
      </left>
      <right style="medium">
        <color indexed="64"/>
      </right>
      <top style="medium">
        <color indexed="64"/>
      </top>
      <bottom style="double">
        <color theme="8" tint="-0.499984740745262"/>
      </bottom>
      <diagonal/>
    </border>
    <border>
      <left/>
      <right style="thin">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diagonal/>
    </border>
    <border>
      <left/>
      <right/>
      <top style="medium">
        <color indexed="64"/>
      </top>
      <bottom style="double">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s>
  <cellStyleXfs count="1">
    <xf numFmtId="0" fontId="0" fillId="0" borderId="0"/>
  </cellStyleXfs>
  <cellXfs count="313">
    <xf numFmtId="0" fontId="0" fillId="0" borderId="0" xfId="0"/>
    <xf numFmtId="0" fontId="1" fillId="0" borderId="0" xfId="0" applyFont="1"/>
    <xf numFmtId="0" fontId="0" fillId="0" borderId="1" xfId="0" applyBorder="1"/>
    <xf numFmtId="0" fontId="2" fillId="2" borderId="2" xfId="0" applyFont="1" applyFill="1" applyBorder="1" applyAlignment="1">
      <alignment vertical="top" wrapText="1"/>
    </xf>
    <xf numFmtId="0" fontId="2" fillId="2" borderId="3" xfId="0" applyFont="1" applyFill="1" applyBorder="1" applyAlignment="1">
      <alignment vertical="top" wrapText="1"/>
    </xf>
    <xf numFmtId="0" fontId="0" fillId="3" borderId="8" xfId="0" applyFill="1" applyBorder="1" applyAlignment="1">
      <alignment horizontal="left" vertical="top" wrapText="1"/>
    </xf>
    <xf numFmtId="0" fontId="0" fillId="3" borderId="5" xfId="0" applyFill="1" applyBorder="1" applyAlignment="1">
      <alignment horizontal="left" vertical="top" wrapText="1"/>
    </xf>
    <xf numFmtId="0" fontId="0" fillId="3" borderId="1" xfId="0" applyFill="1" applyBorder="1" applyAlignment="1">
      <alignment horizontal="left" vertical="top" wrapText="1"/>
    </xf>
    <xf numFmtId="164" fontId="0" fillId="3" borderId="8" xfId="0" applyNumberFormat="1" applyFill="1" applyBorder="1" applyAlignment="1">
      <alignment horizontal="left" vertical="top"/>
    </xf>
    <xf numFmtId="0" fontId="2" fillId="2" borderId="1" xfId="0" applyFont="1" applyFill="1" applyBorder="1" applyAlignment="1">
      <alignment vertical="top" wrapText="1"/>
    </xf>
    <xf numFmtId="0" fontId="0" fillId="3" borderId="1" xfId="0" applyFill="1" applyBorder="1" applyAlignment="1">
      <alignment vertical="top" wrapText="1"/>
    </xf>
    <xf numFmtId="0" fontId="1" fillId="0" borderId="0" xfId="0" applyFont="1" applyAlignment="1">
      <alignment wrapText="1"/>
    </xf>
    <xf numFmtId="0" fontId="0" fillId="3" borderId="19" xfId="0" applyFill="1" applyBorder="1" applyAlignment="1">
      <alignment horizontal="left" vertical="top" wrapText="1"/>
    </xf>
    <xf numFmtId="0" fontId="3" fillId="3" borderId="17" xfId="0" applyFont="1" applyFill="1" applyBorder="1" applyAlignment="1">
      <alignment horizontal="center" vertical="top"/>
    </xf>
    <xf numFmtId="0" fontId="3" fillId="3" borderId="1" xfId="0" applyFont="1" applyFill="1" applyBorder="1" applyAlignment="1">
      <alignment horizontal="center" vertical="top"/>
    </xf>
    <xf numFmtId="0" fontId="3" fillId="3" borderId="18" xfId="0" applyFont="1" applyFill="1" applyBorder="1" applyAlignment="1">
      <alignment horizontal="center" vertical="top"/>
    </xf>
    <xf numFmtId="0" fontId="3" fillId="3" borderId="5" xfId="0" applyFont="1" applyFill="1" applyBorder="1" applyAlignment="1">
      <alignment horizontal="center" vertical="top"/>
    </xf>
    <xf numFmtId="0" fontId="0" fillId="3" borderId="7" xfId="0" applyFill="1" applyBorder="1" applyAlignment="1">
      <alignment horizontal="center" vertical="top"/>
    </xf>
    <xf numFmtId="0" fontId="0" fillId="3" borderId="8" xfId="0" applyFill="1" applyBorder="1" applyAlignment="1">
      <alignment horizontal="left" vertical="top"/>
    </xf>
    <xf numFmtId="0" fontId="0" fillId="3" borderId="1" xfId="0" applyFill="1" applyBorder="1" applyAlignment="1">
      <alignment horizontal="left" vertical="top"/>
    </xf>
    <xf numFmtId="0" fontId="0" fillId="3" borderId="5" xfId="0" applyFill="1" applyBorder="1" applyAlignment="1">
      <alignment horizontal="left" vertical="top"/>
    </xf>
    <xf numFmtId="0" fontId="3" fillId="3" borderId="5" xfId="0" applyFont="1" applyFill="1" applyBorder="1" applyAlignment="1">
      <alignment horizontal="left" vertical="top"/>
    </xf>
    <xf numFmtId="0" fontId="2" fillId="2" borderId="4" xfId="0" applyFont="1" applyFill="1" applyBorder="1" applyAlignment="1">
      <alignment vertical="top" wrapText="1"/>
    </xf>
    <xf numFmtId="0" fontId="0" fillId="4" borderId="1" xfId="0" applyFill="1" applyBorder="1" applyAlignment="1">
      <alignment horizontal="left" vertical="top" wrapText="1"/>
    </xf>
    <xf numFmtId="0" fontId="0" fillId="0" borderId="0" xfId="0" applyFill="1"/>
    <xf numFmtId="0" fontId="1" fillId="5" borderId="0" xfId="0" applyFont="1" applyFill="1"/>
    <xf numFmtId="0" fontId="0" fillId="5" borderId="0" xfId="0" applyFill="1"/>
    <xf numFmtId="0" fontId="1" fillId="5" borderId="2" xfId="0" applyFont="1" applyFill="1" applyBorder="1"/>
    <xf numFmtId="0" fontId="1" fillId="5" borderId="4" xfId="0" applyFont="1" applyFill="1" applyBorder="1"/>
    <xf numFmtId="0" fontId="0" fillId="0" borderId="7" xfId="0" applyBorder="1"/>
    <xf numFmtId="0" fontId="0" fillId="0" borderId="17" xfId="0" applyBorder="1"/>
    <xf numFmtId="0" fontId="0" fillId="0" borderId="18" xfId="0" applyBorder="1"/>
    <xf numFmtId="0" fontId="2" fillId="2" borderId="11" xfId="0" applyFont="1" applyFill="1" applyBorder="1" applyAlignment="1">
      <alignment vertical="center" wrapText="1"/>
    </xf>
    <xf numFmtId="2" fontId="3" fillId="3" borderId="0" xfId="0" applyNumberFormat="1" applyFont="1" applyFill="1" applyBorder="1" applyAlignment="1">
      <alignment horizontal="left" vertical="top" wrapText="1"/>
    </xf>
    <xf numFmtId="0" fontId="0" fillId="4" borderId="5" xfId="0" applyFill="1" applyBorder="1" applyAlignment="1">
      <alignment horizontal="left" vertical="top" wrapText="1"/>
    </xf>
    <xf numFmtId="2" fontId="3" fillId="3" borderId="21" xfId="0" applyNumberFormat="1" applyFont="1" applyFill="1" applyBorder="1" applyAlignment="1">
      <alignment horizontal="left" vertical="top" wrapText="1"/>
    </xf>
    <xf numFmtId="0" fontId="1" fillId="5" borderId="24" xfId="0" applyFont="1" applyFill="1" applyBorder="1"/>
    <xf numFmtId="0" fontId="1" fillId="5" borderId="23" xfId="0" applyFont="1" applyFill="1" applyBorder="1"/>
    <xf numFmtId="0" fontId="3" fillId="3" borderId="0" xfId="0" applyFont="1" applyFill="1" applyBorder="1" applyAlignment="1">
      <alignment horizontal="left" vertical="top"/>
    </xf>
    <xf numFmtId="0" fontId="0" fillId="3" borderId="25" xfId="0" applyFill="1" applyBorder="1" applyAlignment="1">
      <alignment horizontal="center" vertical="top"/>
    </xf>
    <xf numFmtId="0" fontId="0" fillId="3" borderId="26" xfId="0" applyFill="1" applyBorder="1" applyAlignment="1">
      <alignment horizontal="left" vertical="top" wrapText="1"/>
    </xf>
    <xf numFmtId="0" fontId="3" fillId="3" borderId="28" xfId="0" applyFont="1" applyFill="1" applyBorder="1" applyAlignment="1">
      <alignment horizontal="center" vertical="top"/>
    </xf>
    <xf numFmtId="0" fontId="3" fillId="3" borderId="29" xfId="0" applyFont="1" applyFill="1" applyBorder="1" applyAlignment="1">
      <alignment horizontal="center" vertical="top"/>
    </xf>
    <xf numFmtId="0" fontId="3" fillId="3" borderId="21" xfId="0" applyFont="1" applyFill="1" applyBorder="1" applyAlignment="1">
      <alignment horizontal="left" vertical="top"/>
    </xf>
    <xf numFmtId="0" fontId="0" fillId="3" borderId="8" xfId="0" applyFill="1" applyBorder="1" applyAlignment="1">
      <alignment horizontal="center" vertical="top"/>
    </xf>
    <xf numFmtId="0" fontId="0" fillId="0" borderId="32" xfId="0" applyBorder="1" applyAlignment="1">
      <alignment horizontal="center" vertical="center"/>
    </xf>
    <xf numFmtId="0" fontId="2" fillId="2" borderId="31" xfId="0" applyFont="1" applyFill="1" applyBorder="1" applyAlignment="1">
      <alignment horizontal="center" vertical="center" wrapText="1"/>
    </xf>
    <xf numFmtId="0" fontId="0" fillId="3" borderId="26" xfId="0" applyFill="1" applyBorder="1" applyAlignment="1">
      <alignment horizontal="left" vertical="top"/>
    </xf>
    <xf numFmtId="0" fontId="3" fillId="3" borderId="5" xfId="0" applyFont="1" applyFill="1" applyBorder="1" applyAlignment="1">
      <alignment horizontal="left" vertical="top" wrapText="1"/>
    </xf>
    <xf numFmtId="0" fontId="3" fillId="3" borderId="1" xfId="0" applyFont="1" applyFill="1" applyBorder="1" applyAlignment="1">
      <alignment horizontal="left" vertical="top" wrapText="1"/>
    </xf>
    <xf numFmtId="0" fontId="2" fillId="2" borderId="33" xfId="0" applyFont="1" applyFill="1" applyBorder="1" applyAlignment="1">
      <alignment vertical="center" wrapText="1"/>
    </xf>
    <xf numFmtId="0" fontId="0" fillId="0" borderId="12" xfId="0" applyFont="1" applyBorder="1" applyAlignment="1">
      <alignment horizontal="center" vertical="center"/>
    </xf>
    <xf numFmtId="0" fontId="2" fillId="2" borderId="30" xfId="0" applyFont="1" applyFill="1" applyBorder="1" applyAlignment="1">
      <alignment horizontal="center" vertical="center" wrapText="1"/>
    </xf>
    <xf numFmtId="0" fontId="3" fillId="3" borderId="1" xfId="0" applyFont="1" applyFill="1" applyBorder="1" applyAlignment="1">
      <alignment horizontal="left" vertical="top"/>
    </xf>
    <xf numFmtId="164" fontId="3" fillId="3" borderId="1" xfId="0" applyNumberFormat="1" applyFont="1" applyFill="1" applyBorder="1" applyAlignment="1">
      <alignment horizontal="left" vertical="top"/>
    </xf>
    <xf numFmtId="164" fontId="3" fillId="3" borderId="5" xfId="0" applyNumberFormat="1" applyFont="1" applyFill="1" applyBorder="1" applyAlignment="1">
      <alignment horizontal="left" vertical="top"/>
    </xf>
    <xf numFmtId="1" fontId="0" fillId="3" borderId="8" xfId="0" applyNumberFormat="1" applyFill="1" applyBorder="1" applyAlignment="1">
      <alignment horizontal="left" vertical="top" wrapText="1"/>
    </xf>
    <xf numFmtId="1" fontId="0" fillId="3" borderId="1" xfId="0" applyNumberFormat="1" applyFill="1" applyBorder="1" applyAlignment="1">
      <alignment horizontal="left" vertical="top" wrapText="1"/>
    </xf>
    <xf numFmtId="1" fontId="0" fillId="3" borderId="5" xfId="0" applyNumberFormat="1" applyFill="1" applyBorder="1" applyAlignment="1">
      <alignment horizontal="left" vertical="top" wrapText="1"/>
    </xf>
    <xf numFmtId="1" fontId="0" fillId="3" borderId="14" xfId="0" applyNumberFormat="1" applyFill="1" applyBorder="1" applyAlignment="1">
      <alignment horizontal="left" vertical="top" wrapText="1"/>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4" fillId="3" borderId="1" xfId="0" applyFont="1" applyFill="1" applyBorder="1" applyAlignment="1">
      <alignment horizontal="left" vertical="top" wrapText="1"/>
    </xf>
    <xf numFmtId="0" fontId="3" fillId="3" borderId="8" xfId="0" applyFont="1" applyFill="1" applyBorder="1" applyAlignment="1">
      <alignment horizontal="center" vertical="top"/>
    </xf>
    <xf numFmtId="0" fontId="0" fillId="0" borderId="0" xfId="0" applyFill="1" applyBorder="1"/>
    <xf numFmtId="0" fontId="0" fillId="0" borderId="39" xfId="0" applyFill="1" applyBorder="1"/>
    <xf numFmtId="0" fontId="3" fillId="3" borderId="41" xfId="0" applyFont="1" applyFill="1" applyBorder="1" applyAlignment="1">
      <alignment horizontal="left" vertical="top"/>
    </xf>
    <xf numFmtId="0" fontId="0" fillId="3" borderId="42" xfId="0" applyFill="1" applyBorder="1" applyAlignment="1">
      <alignment horizontal="left" vertical="top"/>
    </xf>
    <xf numFmtId="0" fontId="0" fillId="3" borderId="43" xfId="0" applyFill="1" applyBorder="1" applyAlignment="1">
      <alignment horizontal="left" vertical="top"/>
    </xf>
    <xf numFmtId="0" fontId="3" fillId="3" borderId="0" xfId="0" applyFont="1" applyFill="1" applyBorder="1" applyAlignment="1">
      <alignment horizontal="center" vertical="top"/>
    </xf>
    <xf numFmtId="0" fontId="3" fillId="3" borderId="44" xfId="0" applyFont="1" applyFill="1" applyBorder="1" applyAlignment="1">
      <alignment horizontal="center" vertical="top"/>
    </xf>
    <xf numFmtId="0" fontId="0" fillId="3" borderId="26" xfId="0" applyFill="1" applyBorder="1" applyAlignment="1">
      <alignment horizontal="center" vertical="top"/>
    </xf>
    <xf numFmtId="0" fontId="3" fillId="3" borderId="21" xfId="0" applyFont="1" applyFill="1" applyBorder="1" applyAlignment="1">
      <alignment horizontal="center" vertical="top"/>
    </xf>
    <xf numFmtId="0" fontId="3" fillId="3" borderId="45" xfId="0" applyFont="1" applyFill="1" applyBorder="1" applyAlignment="1">
      <alignment horizontal="center" vertical="top"/>
    </xf>
    <xf numFmtId="0" fontId="3" fillId="3" borderId="46" xfId="0" applyFont="1" applyFill="1" applyBorder="1" applyAlignment="1">
      <alignment horizontal="left" vertical="top"/>
    </xf>
    <xf numFmtId="0" fontId="0" fillId="3" borderId="41" xfId="0" applyFill="1" applyBorder="1" applyAlignment="1">
      <alignment horizontal="left" vertical="top" wrapText="1"/>
    </xf>
    <xf numFmtId="0" fontId="0" fillId="0" borderId="44" xfId="0" applyFill="1" applyBorder="1"/>
    <xf numFmtId="0" fontId="0" fillId="3" borderId="47" xfId="0" applyFill="1" applyBorder="1" applyAlignment="1">
      <alignment horizontal="center" vertical="top"/>
    </xf>
    <xf numFmtId="0" fontId="0" fillId="3" borderId="39" xfId="0" applyFill="1" applyBorder="1" applyAlignment="1">
      <alignment horizontal="left" vertical="top"/>
    </xf>
    <xf numFmtId="0" fontId="3" fillId="3" borderId="48" xfId="0" applyFont="1" applyFill="1" applyBorder="1" applyAlignment="1">
      <alignment horizontal="center" vertical="top"/>
    </xf>
    <xf numFmtId="0" fontId="3" fillId="3" borderId="19" xfId="0" applyFont="1" applyFill="1" applyBorder="1" applyAlignment="1">
      <alignment horizontal="left" vertical="top"/>
    </xf>
    <xf numFmtId="0" fontId="3" fillId="3" borderId="19" xfId="0" applyFont="1" applyFill="1" applyBorder="1" applyAlignment="1">
      <alignment horizontal="center" vertical="top"/>
    </xf>
    <xf numFmtId="0" fontId="0" fillId="3" borderId="46" xfId="0" applyFill="1" applyBorder="1" applyAlignment="1">
      <alignment horizontal="left" vertical="top" wrapText="1"/>
    </xf>
    <xf numFmtId="0" fontId="0" fillId="0" borderId="49" xfId="0" applyBorder="1"/>
    <xf numFmtId="0" fontId="0" fillId="6" borderId="0" xfId="0" applyFill="1"/>
    <xf numFmtId="0" fontId="2" fillId="2" borderId="13" xfId="0" applyFont="1" applyFill="1" applyBorder="1" applyAlignment="1">
      <alignment vertical="top" wrapText="1"/>
    </xf>
    <xf numFmtId="0" fontId="2" fillId="2" borderId="35" xfId="0" applyFont="1" applyFill="1" applyBorder="1" applyAlignment="1">
      <alignment vertical="top" wrapText="1"/>
    </xf>
    <xf numFmtId="0" fontId="0" fillId="0" borderId="1" xfId="0" applyBorder="1" applyAlignment="1" applyProtection="1">
      <alignment horizontal="left" vertical="top"/>
      <protection locked="0"/>
    </xf>
    <xf numFmtId="0" fontId="0" fillId="0" borderId="1" xfId="0" applyBorder="1" applyAlignment="1" applyProtection="1">
      <alignment horizontal="left" vertical="top"/>
    </xf>
    <xf numFmtId="0" fontId="3" fillId="3" borderId="47" xfId="0" applyFont="1" applyFill="1" applyBorder="1" applyAlignment="1">
      <alignment horizontal="center" vertical="top"/>
    </xf>
    <xf numFmtId="0" fontId="0" fillId="3" borderId="52" xfId="0" applyFill="1" applyBorder="1" applyAlignment="1">
      <alignment horizontal="left" vertical="top"/>
    </xf>
    <xf numFmtId="0" fontId="0" fillId="3" borderId="21" xfId="0" applyFill="1" applyBorder="1" applyAlignment="1">
      <alignment horizontal="left" vertical="top"/>
    </xf>
    <xf numFmtId="0" fontId="0" fillId="3" borderId="0" xfId="0" applyFill="1" applyBorder="1" applyAlignment="1">
      <alignment horizontal="left" vertical="top"/>
    </xf>
    <xf numFmtId="0" fontId="3" fillId="3" borderId="53" xfId="0" applyFont="1" applyFill="1" applyBorder="1" applyAlignment="1">
      <alignment horizontal="left" vertical="top"/>
    </xf>
    <xf numFmtId="0" fontId="3" fillId="3" borderId="39" xfId="0" applyFont="1" applyFill="1" applyBorder="1" applyAlignment="1">
      <alignment horizontal="center" vertical="top"/>
    </xf>
    <xf numFmtId="0" fontId="0" fillId="0" borderId="39" xfId="0" applyBorder="1" applyAlignment="1" applyProtection="1">
      <alignment horizontal="center" vertical="top"/>
      <protection locked="0"/>
    </xf>
    <xf numFmtId="0" fontId="2" fillId="2" borderId="50" xfId="0" applyFont="1" applyFill="1" applyBorder="1" applyAlignment="1">
      <alignment vertical="top" wrapText="1"/>
    </xf>
    <xf numFmtId="2" fontId="0" fillId="0" borderId="39" xfId="0" applyNumberFormat="1" applyBorder="1" applyAlignment="1" applyProtection="1">
      <alignment horizontal="center" vertical="center" wrapText="1"/>
      <protection locked="0"/>
    </xf>
    <xf numFmtId="0" fontId="0" fillId="0" borderId="7" xfId="0" applyBorder="1" applyAlignment="1">
      <alignment horizontal="center" vertical="center"/>
    </xf>
    <xf numFmtId="2" fontId="0" fillId="3" borderId="9" xfId="0" applyNumberFormat="1" applyFill="1" applyBorder="1" applyAlignment="1">
      <alignment horizontal="left" wrapText="1"/>
    </xf>
    <xf numFmtId="0" fontId="0" fillId="0" borderId="17" xfId="0" applyBorder="1" applyAlignment="1">
      <alignment horizontal="center" vertical="center"/>
    </xf>
    <xf numFmtId="0" fontId="0" fillId="0" borderId="18" xfId="0" applyBorder="1" applyAlignment="1">
      <alignment horizontal="center" vertical="center"/>
    </xf>
    <xf numFmtId="2" fontId="0" fillId="3" borderId="6" xfId="0" applyNumberFormat="1" applyFill="1" applyBorder="1" applyAlignment="1">
      <alignment horizontal="left" wrapText="1"/>
    </xf>
    <xf numFmtId="0" fontId="2" fillId="2" borderId="57" xfId="0" applyFont="1" applyFill="1" applyBorder="1" applyAlignment="1">
      <alignment horizontal="center" vertical="top" wrapText="1"/>
    </xf>
    <xf numFmtId="0" fontId="2" fillId="2" borderId="4" xfId="0" applyFont="1" applyFill="1" applyBorder="1" applyAlignment="1">
      <alignment horizontal="center" vertical="top" wrapText="1"/>
    </xf>
    <xf numFmtId="0" fontId="0" fillId="3" borderId="34" xfId="0" applyFill="1" applyBorder="1" applyAlignment="1">
      <alignment horizontal="left" vertical="top" wrapText="1"/>
    </xf>
    <xf numFmtId="0" fontId="2" fillId="2" borderId="58" xfId="0" applyFont="1" applyFill="1" applyBorder="1" applyAlignment="1">
      <alignment vertical="top" wrapText="1"/>
    </xf>
    <xf numFmtId="0" fontId="2" fillId="2" borderId="4" xfId="0" applyFont="1" applyFill="1" applyBorder="1" applyAlignment="1">
      <alignment horizontal="center" vertical="center" wrapText="1"/>
    </xf>
    <xf numFmtId="0" fontId="0" fillId="0" borderId="20" xfId="0" applyBorder="1"/>
    <xf numFmtId="0" fontId="0" fillId="0" borderId="22" xfId="0" applyBorder="1"/>
    <xf numFmtId="2" fontId="0" fillId="3" borderId="56" xfId="0" applyNumberFormat="1" applyFill="1" applyBorder="1" applyAlignment="1">
      <alignment horizontal="left" wrapText="1"/>
    </xf>
    <xf numFmtId="0" fontId="0" fillId="3" borderId="8" xfId="0" applyFill="1" applyBorder="1" applyAlignment="1" applyProtection="1">
      <alignment horizontal="center" vertical="top"/>
      <protection locked="0"/>
    </xf>
    <xf numFmtId="1" fontId="0" fillId="0" borderId="8" xfId="0" applyNumberFormat="1" applyBorder="1" applyAlignment="1" applyProtection="1">
      <alignment horizontal="left" vertical="top"/>
      <protection locked="0"/>
    </xf>
    <xf numFmtId="1" fontId="0" fillId="0" borderId="15" xfId="0" applyNumberFormat="1" applyBorder="1" applyAlignment="1" applyProtection="1">
      <alignment horizontal="left" vertical="top"/>
      <protection locked="0"/>
    </xf>
    <xf numFmtId="1" fontId="0" fillId="0" borderId="34" xfId="0" applyNumberFormat="1" applyBorder="1" applyAlignment="1" applyProtection="1">
      <alignment horizontal="left" vertical="top"/>
      <protection locked="0"/>
    </xf>
    <xf numFmtId="1" fontId="0" fillId="0" borderId="27" xfId="0" applyNumberFormat="1" applyBorder="1" applyAlignment="1" applyProtection="1">
      <alignment horizontal="left" vertical="top"/>
      <protection locked="0"/>
    </xf>
    <xf numFmtId="0" fontId="2" fillId="2" borderId="59" xfId="0" applyFont="1" applyFill="1" applyBorder="1" applyAlignment="1">
      <alignment vertical="top" wrapText="1"/>
    </xf>
    <xf numFmtId="0" fontId="0" fillId="3" borderId="39" xfId="0" applyFill="1" applyBorder="1" applyAlignment="1">
      <alignment horizontal="center" vertical="center"/>
    </xf>
    <xf numFmtId="0" fontId="0" fillId="3" borderId="19" xfId="0" applyFill="1" applyBorder="1" applyAlignment="1">
      <alignment horizontal="center" vertical="center"/>
    </xf>
    <xf numFmtId="0" fontId="0" fillId="3" borderId="42" xfId="0" applyFill="1" applyBorder="1" applyAlignment="1">
      <alignment horizontal="center" vertical="center"/>
    </xf>
    <xf numFmtId="0" fontId="3" fillId="3" borderId="60" xfId="0" applyFont="1" applyFill="1" applyBorder="1" applyAlignment="1">
      <alignment horizontal="left" vertical="top"/>
    </xf>
    <xf numFmtId="0" fontId="0" fillId="3" borderId="0" xfId="0" applyFill="1" applyBorder="1" applyAlignment="1">
      <alignment horizontal="left" vertical="top" wrapText="1"/>
    </xf>
    <xf numFmtId="0" fontId="0" fillId="3" borderId="39" xfId="0" applyFont="1" applyFill="1" applyBorder="1" applyAlignment="1">
      <alignment horizontal="center" vertical="center" wrapText="1"/>
    </xf>
    <xf numFmtId="0" fontId="0" fillId="3" borderId="8" xfId="0" applyFill="1" applyBorder="1" applyAlignment="1">
      <alignment horizontal="center" vertical="center"/>
    </xf>
    <xf numFmtId="0" fontId="0" fillId="3" borderId="5" xfId="0" applyFont="1" applyFill="1" applyBorder="1" applyAlignment="1">
      <alignment horizontal="center" vertical="center"/>
    </xf>
    <xf numFmtId="0" fontId="2" fillId="2" borderId="57" xfId="0" applyFont="1" applyFill="1" applyBorder="1" applyAlignment="1">
      <alignment horizontal="center" vertical="center" wrapText="1"/>
    </xf>
    <xf numFmtId="0" fontId="0" fillId="0" borderId="61" xfId="0" applyBorder="1" applyAlignment="1">
      <alignment horizontal="center" vertical="center"/>
    </xf>
    <xf numFmtId="0" fontId="0" fillId="0" borderId="29" xfId="0" applyBorder="1" applyAlignment="1">
      <alignment horizontal="center" vertical="center"/>
    </xf>
    <xf numFmtId="0" fontId="4" fillId="3" borderId="19" xfId="0" applyFont="1" applyFill="1" applyBorder="1" applyAlignment="1">
      <alignment horizontal="left" vertical="top" wrapText="1"/>
    </xf>
    <xf numFmtId="0" fontId="0" fillId="3" borderId="19" xfId="0" applyFont="1" applyFill="1" applyBorder="1" applyAlignment="1">
      <alignment horizontal="left" vertical="top" wrapText="1"/>
    </xf>
    <xf numFmtId="0" fontId="0" fillId="0" borderId="8" xfId="0" applyFont="1" applyFill="1" applyBorder="1" applyAlignment="1" applyProtection="1">
      <alignment horizontal="left" vertical="top" wrapText="1"/>
      <protection locked="0"/>
    </xf>
    <xf numFmtId="0" fontId="0" fillId="0" borderId="5" xfId="0" applyFont="1" applyFill="1" applyBorder="1" applyAlignment="1" applyProtection="1">
      <alignment horizontal="left" vertical="top" wrapText="1"/>
      <protection locked="0"/>
    </xf>
    <xf numFmtId="0" fontId="0" fillId="0" borderId="39" xfId="0" applyBorder="1" applyAlignment="1" applyProtection="1">
      <alignment horizontal="left" vertical="top" wrapText="1"/>
      <protection locked="0"/>
    </xf>
    <xf numFmtId="0" fontId="0" fillId="0" borderId="39" xfId="0" applyFill="1" applyBorder="1" applyAlignment="1" applyProtection="1">
      <alignment horizontal="center" vertical="center"/>
      <protection locked="0"/>
    </xf>
    <xf numFmtId="0" fontId="2" fillId="2" borderId="13" xfId="0" applyFont="1" applyFill="1" applyBorder="1" applyAlignment="1" applyProtection="1">
      <alignment vertical="top" wrapText="1"/>
    </xf>
    <xf numFmtId="0" fontId="0" fillId="0" borderId="26" xfId="0" applyFill="1" applyBorder="1" applyAlignment="1" applyProtection="1">
      <alignment horizontal="left" vertical="top"/>
      <protection locked="0"/>
    </xf>
    <xf numFmtId="2" fontId="0" fillId="0" borderId="8" xfId="0" applyNumberFormat="1" applyFill="1" applyBorder="1" applyAlignment="1" applyProtection="1">
      <alignment horizontal="left" vertical="top" wrapText="1"/>
      <protection locked="0"/>
    </xf>
    <xf numFmtId="2" fontId="0" fillId="0" borderId="1" xfId="0" applyNumberFormat="1" applyFill="1" applyBorder="1" applyAlignment="1" applyProtection="1">
      <alignment horizontal="left" vertical="top" wrapText="1"/>
      <protection locked="0"/>
    </xf>
    <xf numFmtId="2" fontId="0" fillId="0" borderId="5" xfId="0" applyNumberFormat="1" applyFill="1" applyBorder="1" applyAlignment="1" applyProtection="1">
      <alignment horizontal="left" vertical="top" wrapText="1"/>
      <protection locked="0"/>
    </xf>
    <xf numFmtId="0" fontId="2" fillId="2" borderId="62" xfId="0" applyFont="1" applyFill="1" applyBorder="1" applyAlignment="1">
      <alignment horizontal="center" vertical="center" wrapText="1"/>
    </xf>
    <xf numFmtId="2" fontId="0" fillId="3" borderId="8" xfId="0" applyNumberFormat="1" applyFill="1" applyBorder="1" applyAlignment="1" applyProtection="1">
      <alignment horizontal="left" vertical="top" wrapText="1"/>
    </xf>
    <xf numFmtId="0" fontId="3" fillId="3" borderId="39" xfId="0" applyFont="1" applyFill="1" applyBorder="1" applyAlignment="1" applyProtection="1">
      <alignment horizontal="center" vertical="top"/>
    </xf>
    <xf numFmtId="2" fontId="3" fillId="3" borderId="39" xfId="0" applyNumberFormat="1" applyFont="1" applyFill="1" applyBorder="1" applyAlignment="1" applyProtection="1">
      <alignment horizontal="center" vertical="center" wrapText="1"/>
    </xf>
    <xf numFmtId="2" fontId="3" fillId="3" borderId="19" xfId="0" applyNumberFormat="1" applyFont="1" applyFill="1" applyBorder="1" applyAlignment="1" applyProtection="1">
      <alignment horizontal="center" vertical="center" wrapText="1"/>
    </xf>
    <xf numFmtId="2" fontId="3" fillId="3" borderId="8" xfId="0" applyNumberFormat="1" applyFont="1" applyFill="1" applyBorder="1" applyAlignment="1" applyProtection="1">
      <alignment horizontal="center" vertical="center" wrapText="1"/>
    </xf>
    <xf numFmtId="2" fontId="3" fillId="3" borderId="49" xfId="0" applyNumberFormat="1" applyFont="1" applyFill="1" applyBorder="1" applyAlignment="1" applyProtection="1">
      <alignment horizontal="center" vertical="center" wrapText="1"/>
    </xf>
    <xf numFmtId="0" fontId="2" fillId="2" borderId="31" xfId="0" applyFont="1" applyFill="1" applyBorder="1" applyAlignment="1">
      <alignment horizontal="center" vertical="top" wrapText="1"/>
    </xf>
    <xf numFmtId="0" fontId="0" fillId="3" borderId="9" xfId="0" applyNumberFormat="1" applyFill="1" applyBorder="1" applyAlignment="1">
      <alignment horizontal="left" vertical="top" wrapText="1"/>
    </xf>
    <xf numFmtId="0" fontId="0" fillId="3" borderId="10" xfId="0" applyNumberFormat="1" applyFill="1" applyBorder="1" applyAlignment="1">
      <alignment wrapText="1"/>
    </xf>
    <xf numFmtId="0" fontId="0" fillId="3" borderId="6" xfId="0" applyNumberFormat="1" applyFill="1" applyBorder="1" applyAlignment="1">
      <alignment wrapText="1"/>
    </xf>
    <xf numFmtId="1" fontId="0" fillId="0" borderId="14" xfId="0" applyNumberFormat="1" applyFill="1" applyBorder="1" applyAlignment="1" applyProtection="1">
      <alignment horizontal="right" vertical="top" wrapText="1"/>
      <protection locked="0"/>
    </xf>
    <xf numFmtId="1" fontId="0" fillId="0" borderId="8" xfId="0" applyNumberFormat="1" applyFill="1" applyBorder="1" applyAlignment="1" applyProtection="1">
      <alignment horizontal="right" vertical="top" wrapText="1"/>
      <protection locked="0"/>
    </xf>
    <xf numFmtId="0" fontId="0" fillId="0" borderId="56" xfId="0" applyFill="1" applyBorder="1" applyAlignment="1">
      <alignment wrapText="1"/>
    </xf>
    <xf numFmtId="1" fontId="0" fillId="0" borderId="14" xfId="0" applyNumberFormat="1" applyFill="1" applyBorder="1" applyAlignment="1" applyProtection="1">
      <alignment horizontal="left" vertical="top" wrapText="1"/>
      <protection locked="0"/>
    </xf>
    <xf numFmtId="1" fontId="0" fillId="0" borderId="1" xfId="0" applyNumberFormat="1" applyFill="1" applyBorder="1" applyAlignment="1" applyProtection="1">
      <alignment horizontal="left" vertical="top" wrapText="1"/>
      <protection locked="0"/>
    </xf>
    <xf numFmtId="1" fontId="0" fillId="0" borderId="5" xfId="0" applyNumberFormat="1" applyFill="1" applyBorder="1" applyAlignment="1" applyProtection="1">
      <alignment horizontal="left" vertical="top" wrapText="1"/>
      <protection locked="0"/>
    </xf>
    <xf numFmtId="1" fontId="0" fillId="0" borderId="8" xfId="0" applyNumberFormat="1" applyFill="1" applyBorder="1" applyAlignment="1" applyProtection="1">
      <alignment horizontal="left" vertical="top" wrapText="1"/>
      <protection locked="0"/>
    </xf>
    <xf numFmtId="0" fontId="0" fillId="0" borderId="40" xfId="0" applyFill="1" applyBorder="1" applyAlignment="1">
      <alignment wrapText="1"/>
    </xf>
    <xf numFmtId="0" fontId="0" fillId="0" borderId="9" xfId="0" applyFill="1" applyBorder="1" applyAlignment="1">
      <alignment wrapText="1"/>
    </xf>
    <xf numFmtId="0" fontId="0" fillId="0" borderId="8" xfId="0" applyFill="1" applyBorder="1" applyAlignment="1" applyProtection="1">
      <alignment horizontal="left" vertical="top"/>
      <protection locked="0"/>
    </xf>
    <xf numFmtId="164" fontId="0" fillId="0" borderId="8" xfId="0" applyNumberFormat="1" applyFill="1" applyBorder="1" applyAlignment="1" applyProtection="1">
      <alignment horizontal="left" vertical="top"/>
      <protection locked="0"/>
    </xf>
    <xf numFmtId="0" fontId="0" fillId="0" borderId="8"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5" xfId="0" applyFill="1" applyBorder="1" applyAlignment="1" applyProtection="1">
      <alignment horizontal="left" vertical="top" wrapText="1"/>
      <protection locked="0"/>
    </xf>
    <xf numFmtId="4" fontId="0" fillId="0" borderId="8" xfId="0" applyNumberFormat="1" applyFill="1" applyBorder="1" applyAlignment="1" applyProtection="1">
      <alignment horizontal="left" vertical="top" wrapText="1"/>
      <protection locked="0"/>
    </xf>
    <xf numFmtId="4" fontId="0" fillId="0" borderId="1" xfId="0" applyNumberFormat="1" applyFill="1" applyBorder="1" applyAlignment="1" applyProtection="1">
      <alignment horizontal="left" vertical="top" wrapText="1"/>
      <protection locked="0"/>
    </xf>
    <xf numFmtId="4" fontId="0" fillId="0" borderId="5" xfId="0" applyNumberFormat="1" applyFill="1" applyBorder="1" applyAlignment="1" applyProtection="1">
      <alignment horizontal="left" vertical="top" wrapText="1"/>
      <protection locked="0"/>
    </xf>
    <xf numFmtId="4" fontId="0" fillId="0" borderId="15" xfId="0" applyNumberFormat="1" applyFill="1" applyBorder="1" applyAlignment="1" applyProtection="1">
      <alignment horizontal="left" vertical="top" wrapText="1"/>
      <protection locked="0"/>
    </xf>
    <xf numFmtId="4" fontId="0" fillId="0" borderId="34" xfId="0" applyNumberFormat="1" applyFill="1" applyBorder="1" applyAlignment="1" applyProtection="1">
      <alignment horizontal="left" vertical="top" wrapText="1"/>
      <protection locked="0"/>
    </xf>
    <xf numFmtId="0" fontId="0" fillId="0" borderId="6" xfId="0" applyBorder="1" applyProtection="1">
      <protection locked="0"/>
    </xf>
    <xf numFmtId="0" fontId="0" fillId="0" borderId="0" xfId="0" applyProtection="1">
      <protection locked="0"/>
    </xf>
    <xf numFmtId="1" fontId="0" fillId="0" borderId="1" xfId="0" applyNumberFormat="1" applyBorder="1" applyAlignment="1" applyProtection="1">
      <alignment horizontal="left" vertical="top"/>
      <protection locked="0"/>
    </xf>
    <xf numFmtId="164" fontId="0" fillId="0" borderId="1" xfId="0" applyNumberFormat="1" applyBorder="1" applyAlignment="1" applyProtection="1">
      <alignment horizontal="left" vertical="top"/>
      <protection locked="0"/>
    </xf>
    <xf numFmtId="0" fontId="0" fillId="0" borderId="33" xfId="0" applyFont="1" applyFill="1" applyBorder="1" applyAlignment="1" applyProtection="1">
      <alignment horizontal="center" vertical="center" wrapText="1"/>
      <protection locked="0"/>
    </xf>
    <xf numFmtId="0" fontId="0" fillId="7" borderId="0" xfId="0" applyFill="1"/>
    <xf numFmtId="0" fontId="0" fillId="7" borderId="0" xfId="0" applyFill="1" applyAlignment="1">
      <alignment vertical="center"/>
    </xf>
    <xf numFmtId="0" fontId="0" fillId="7" borderId="0" xfId="0" applyFill="1" applyAlignment="1">
      <alignment horizontal="center" vertical="center"/>
    </xf>
    <xf numFmtId="0" fontId="0" fillId="7" borderId="1" xfId="0" applyFill="1" applyBorder="1"/>
    <xf numFmtId="0" fontId="2" fillId="7" borderId="11" xfId="0" applyFont="1" applyFill="1" applyBorder="1" applyAlignment="1">
      <alignment vertical="center" wrapText="1"/>
    </xf>
    <xf numFmtId="0" fontId="0" fillId="0" borderId="8" xfId="0" applyBorder="1" applyAlignment="1" applyProtection="1">
      <alignment horizontal="center" vertical="top"/>
      <protection locked="0"/>
    </xf>
    <xf numFmtId="0" fontId="0" fillId="7" borderId="0" xfId="0" applyFill="1" applyAlignment="1">
      <alignment vertical="top"/>
    </xf>
    <xf numFmtId="0" fontId="7" fillId="7" borderId="0" xfId="0" applyFont="1" applyFill="1" applyBorder="1"/>
    <xf numFmtId="0" fontId="6" fillId="7" borderId="0" xfId="0" applyFont="1" applyFill="1" applyBorder="1" applyAlignment="1">
      <alignment vertical="top" wrapText="1"/>
    </xf>
    <xf numFmtId="3" fontId="7" fillId="7" borderId="0" xfId="0" applyNumberFormat="1" applyFont="1" applyFill="1" applyBorder="1" applyAlignment="1">
      <alignment horizontal="left" vertical="top" wrapText="1"/>
    </xf>
    <xf numFmtId="0" fontId="0" fillId="0" borderId="26" xfId="0" applyBorder="1" applyAlignment="1" applyProtection="1">
      <alignment horizontal="center" vertical="center"/>
      <protection locked="0"/>
    </xf>
    <xf numFmtId="0" fontId="0" fillId="0" borderId="41" xfId="0" applyFill="1" applyBorder="1" applyAlignment="1" applyProtection="1">
      <alignment horizontal="left" vertical="top" wrapText="1"/>
    </xf>
    <xf numFmtId="2" fontId="0" fillId="0" borderId="8" xfId="0" applyNumberFormat="1" applyBorder="1" applyAlignment="1" applyProtection="1">
      <alignment horizontal="left" vertical="top" wrapText="1"/>
      <protection locked="0"/>
    </xf>
    <xf numFmtId="2" fontId="0" fillId="0" borderId="1" xfId="0" applyNumberFormat="1" applyBorder="1" applyAlignment="1" applyProtection="1">
      <alignment horizontal="left" vertical="top" wrapText="1"/>
      <protection locked="0"/>
    </xf>
    <xf numFmtId="2" fontId="0" fillId="0" borderId="5" xfId="0" applyNumberFormat="1" applyBorder="1" applyAlignment="1" applyProtection="1">
      <alignment horizontal="left" vertical="top" wrapText="1"/>
      <protection locked="0"/>
    </xf>
    <xf numFmtId="0" fontId="2" fillId="2" borderId="3" xfId="0" applyFont="1" applyFill="1" applyBorder="1" applyAlignment="1">
      <alignment wrapText="1"/>
    </xf>
    <xf numFmtId="0" fontId="0" fillId="0" borderId="20" xfId="0" applyNumberFormat="1" applyFill="1" applyBorder="1" applyAlignment="1" applyProtection="1">
      <alignment horizontal="left" vertical="top" wrapText="1"/>
      <protection locked="0"/>
    </xf>
    <xf numFmtId="0" fontId="0" fillId="3" borderId="6" xfId="0" applyNumberFormat="1" applyFill="1" applyBorder="1" applyAlignment="1">
      <alignment horizontal="left" vertical="top" wrapText="1"/>
    </xf>
    <xf numFmtId="0" fontId="0" fillId="0" borderId="1" xfId="0"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3" borderId="1" xfId="0" applyFill="1" applyBorder="1" applyAlignment="1">
      <alignment horizontal="center" vertical="center"/>
    </xf>
    <xf numFmtId="0" fontId="0" fillId="0" borderId="10" xfId="0" applyNumberFormat="1" applyFill="1" applyBorder="1" applyAlignment="1">
      <alignment vertical="top" wrapText="1"/>
    </xf>
    <xf numFmtId="0" fontId="0" fillId="0" borderId="6" xfId="0" applyNumberFormat="1" applyFill="1" applyBorder="1" applyAlignment="1">
      <alignment vertical="top" wrapText="1"/>
    </xf>
    <xf numFmtId="0" fontId="8" fillId="7" borderId="0" xfId="0" applyFont="1" applyFill="1"/>
    <xf numFmtId="0" fontId="0" fillId="0" borderId="55" xfId="0" applyFill="1" applyBorder="1" applyAlignment="1">
      <alignment horizontal="left" vertical="top" wrapText="1"/>
    </xf>
    <xf numFmtId="0" fontId="2" fillId="2" borderId="31" xfId="0" applyFont="1" applyFill="1" applyBorder="1" applyAlignment="1">
      <alignment vertical="top" wrapText="1"/>
    </xf>
    <xf numFmtId="0" fontId="0" fillId="0" borderId="32" xfId="0" applyBorder="1" applyProtection="1">
      <protection locked="0"/>
    </xf>
    <xf numFmtId="0" fontId="0" fillId="0" borderId="63" xfId="0" applyBorder="1" applyProtection="1">
      <protection locked="0"/>
    </xf>
    <xf numFmtId="0" fontId="0" fillId="0" borderId="64" xfId="0" applyBorder="1" applyProtection="1">
      <protection locked="0"/>
    </xf>
    <xf numFmtId="0" fontId="0" fillId="3" borderId="8" xfId="0" applyFont="1" applyFill="1" applyBorder="1" applyAlignment="1" applyProtection="1">
      <alignment horizontal="left" vertical="top" wrapText="1"/>
    </xf>
    <xf numFmtId="0" fontId="0" fillId="0" borderId="0" xfId="0"/>
    <xf numFmtId="1" fontId="0" fillId="5" borderId="0" xfId="0" applyNumberFormat="1" applyFill="1"/>
    <xf numFmtId="1" fontId="0" fillId="0" borderId="0" xfId="0" applyNumberFormat="1"/>
    <xf numFmtId="1" fontId="1" fillId="5" borderId="0" xfId="0" applyNumberFormat="1" applyFont="1" applyFill="1"/>
    <xf numFmtId="0" fontId="0" fillId="8" borderId="0" xfId="0" applyFill="1"/>
    <xf numFmtId="0" fontId="0" fillId="8" borderId="0" xfId="0" applyFill="1" applyAlignment="1">
      <alignment wrapText="1"/>
    </xf>
    <xf numFmtId="0" fontId="0" fillId="9" borderId="0" xfId="0" applyFill="1"/>
    <xf numFmtId="0" fontId="0" fillId="9" borderId="0" xfId="0" applyFill="1" applyAlignment="1">
      <alignment wrapText="1"/>
    </xf>
    <xf numFmtId="0" fontId="4" fillId="0" borderId="8"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0" fillId="0" borderId="1" xfId="0" applyBorder="1" applyProtection="1"/>
    <xf numFmtId="0" fontId="2" fillId="2" borderId="58" xfId="0" applyFont="1" applyFill="1" applyBorder="1" applyAlignment="1" applyProtection="1">
      <alignment vertical="top" wrapText="1"/>
    </xf>
    <xf numFmtId="0" fontId="4" fillId="0" borderId="1" xfId="0" applyFont="1" applyFill="1" applyBorder="1" applyAlignment="1" applyProtection="1">
      <alignment horizontal="center" vertical="top"/>
    </xf>
    <xf numFmtId="0" fontId="0" fillId="7" borderId="0" xfId="0" applyFill="1" applyProtection="1"/>
    <xf numFmtId="0" fontId="2" fillId="2" borderId="3" xfId="0" applyFont="1" applyFill="1" applyBorder="1" applyAlignment="1" applyProtection="1">
      <alignment vertical="top" wrapText="1"/>
    </xf>
    <xf numFmtId="0" fontId="0" fillId="0" borderId="8" xfId="0" applyFill="1" applyBorder="1" applyAlignment="1" applyProtection="1">
      <alignment horizontal="center" vertical="top"/>
    </xf>
    <xf numFmtId="0" fontId="4" fillId="0" borderId="5" xfId="0" applyFont="1" applyFill="1" applyBorder="1" applyAlignment="1" applyProtection="1">
      <alignment horizontal="center" vertical="top"/>
    </xf>
    <xf numFmtId="0" fontId="4" fillId="0" borderId="8" xfId="0" applyFont="1" applyFill="1" applyBorder="1" applyAlignment="1" applyProtection="1">
      <alignment horizontal="center" vertical="top"/>
    </xf>
    <xf numFmtId="1" fontId="0" fillId="4" borderId="1" xfId="0" applyNumberFormat="1" applyFill="1" applyBorder="1" applyAlignment="1">
      <alignment horizontal="left" vertical="top" wrapText="1"/>
    </xf>
    <xf numFmtId="1" fontId="0" fillId="4" borderId="5" xfId="0" applyNumberFormat="1" applyFill="1" applyBorder="1" applyAlignment="1">
      <alignment horizontal="left" vertical="top" wrapText="1"/>
    </xf>
    <xf numFmtId="1" fontId="0" fillId="3" borderId="8" xfId="0" applyNumberFormat="1" applyFill="1" applyBorder="1" applyAlignment="1">
      <alignment horizontal="left" vertical="top"/>
    </xf>
    <xf numFmtId="49" fontId="0" fillId="3" borderId="8" xfId="0" applyNumberFormat="1" applyFill="1" applyBorder="1" applyAlignment="1">
      <alignment horizontal="left" vertical="top" wrapText="1"/>
    </xf>
    <xf numFmtId="49" fontId="0" fillId="4" borderId="1" xfId="0" applyNumberFormat="1" applyFill="1" applyBorder="1" applyAlignment="1">
      <alignment horizontal="left" vertical="top" wrapText="1"/>
    </xf>
    <xf numFmtId="49" fontId="0" fillId="3" borderId="1" xfId="0" applyNumberFormat="1" applyFill="1" applyBorder="1" applyAlignment="1">
      <alignment horizontal="left" vertical="top" wrapText="1"/>
    </xf>
    <xf numFmtId="49" fontId="0" fillId="4" borderId="5" xfId="0" applyNumberFormat="1" applyFill="1" applyBorder="1" applyAlignment="1">
      <alignment horizontal="left" vertical="top" wrapText="1"/>
    </xf>
    <xf numFmtId="0" fontId="0" fillId="0" borderId="0" xfId="0"/>
    <xf numFmtId="0" fontId="0" fillId="0" borderId="1" xfId="0" applyBorder="1"/>
    <xf numFmtId="0" fontId="2" fillId="2" borderId="3" xfId="0" applyFont="1" applyFill="1" applyBorder="1" applyAlignment="1">
      <alignment vertical="top" wrapText="1"/>
    </xf>
    <xf numFmtId="0" fontId="0" fillId="0" borderId="0" xfId="0" applyFill="1"/>
    <xf numFmtId="2" fontId="3" fillId="3" borderId="0" xfId="0" applyNumberFormat="1" applyFont="1" applyFill="1" applyBorder="1" applyAlignment="1">
      <alignment horizontal="left" vertical="top" wrapText="1"/>
    </xf>
    <xf numFmtId="2" fontId="3" fillId="3" borderId="21" xfId="0" applyNumberFormat="1" applyFont="1" applyFill="1" applyBorder="1" applyAlignment="1">
      <alignment horizontal="left" vertical="top" wrapText="1"/>
    </xf>
    <xf numFmtId="1" fontId="0" fillId="3" borderId="8" xfId="0" applyNumberFormat="1" applyFill="1" applyBorder="1" applyAlignment="1">
      <alignment horizontal="left" vertical="top" wrapText="1"/>
    </xf>
    <xf numFmtId="1" fontId="0" fillId="3" borderId="1" xfId="0" applyNumberFormat="1" applyFill="1" applyBorder="1" applyAlignment="1">
      <alignment horizontal="left" vertical="top" wrapText="1"/>
    </xf>
    <xf numFmtId="0" fontId="0" fillId="3" borderId="14" xfId="0" applyFill="1" applyBorder="1" applyAlignment="1">
      <alignment horizontal="left" vertical="top" wrapText="1"/>
    </xf>
    <xf numFmtId="49" fontId="3" fillId="3" borderId="37" xfId="0" applyNumberFormat="1" applyFont="1" applyFill="1" applyBorder="1" applyAlignment="1">
      <alignment wrapText="1"/>
    </xf>
    <xf numFmtId="49" fontId="3" fillId="3" borderId="38" xfId="0" applyNumberFormat="1" applyFont="1" applyFill="1" applyBorder="1" applyAlignment="1">
      <alignment wrapText="1"/>
    </xf>
    <xf numFmtId="49" fontId="3" fillId="3" borderId="20" xfId="0" applyNumberFormat="1" applyFont="1" applyFill="1" applyBorder="1" applyAlignment="1">
      <alignment wrapText="1"/>
    </xf>
    <xf numFmtId="3" fontId="0" fillId="0" borderId="37" xfId="0" applyNumberFormat="1" applyFill="1" applyBorder="1" applyAlignment="1" applyProtection="1">
      <alignment horizontal="left" vertical="top" wrapText="1"/>
      <protection locked="0"/>
    </xf>
    <xf numFmtId="3" fontId="3" fillId="3" borderId="54" xfId="0" applyNumberFormat="1" applyFont="1" applyFill="1" applyBorder="1" applyAlignment="1">
      <alignment horizontal="left" vertical="top" wrapText="1"/>
    </xf>
    <xf numFmtId="3" fontId="3" fillId="3" borderId="55" xfId="0" applyNumberFormat="1" applyFont="1" applyFill="1" applyBorder="1" applyAlignment="1">
      <alignment horizontal="left" vertical="top" wrapText="1"/>
    </xf>
    <xf numFmtId="3" fontId="3" fillId="3" borderId="56" xfId="0" applyNumberFormat="1" applyFont="1" applyFill="1" applyBorder="1" applyAlignment="1">
      <alignment horizontal="left" vertical="top" wrapText="1"/>
    </xf>
    <xf numFmtId="0" fontId="2" fillId="2" borderId="58" xfId="0" applyFont="1" applyFill="1" applyBorder="1" applyAlignment="1">
      <alignment vertical="top" wrapText="1"/>
    </xf>
    <xf numFmtId="49" fontId="0" fillId="0" borderId="40" xfId="0" applyNumberFormat="1" applyFill="1" applyBorder="1" applyAlignment="1" applyProtection="1">
      <alignment horizontal="left" vertical="top" wrapText="1"/>
      <protection locked="0"/>
    </xf>
    <xf numFmtId="3" fontId="3" fillId="3" borderId="20" xfId="0" applyNumberFormat="1" applyFont="1" applyFill="1" applyBorder="1" applyAlignment="1">
      <alignment horizontal="left" vertical="top" wrapText="1"/>
    </xf>
    <xf numFmtId="3" fontId="3" fillId="3" borderId="22" xfId="0" applyNumberFormat="1" applyFont="1" applyFill="1" applyBorder="1" applyAlignment="1">
      <alignment horizontal="left" vertical="top" wrapText="1"/>
    </xf>
    <xf numFmtId="2" fontId="0" fillId="0" borderId="8" xfId="0" applyNumberFormat="1" applyFill="1" applyBorder="1" applyAlignment="1" applyProtection="1">
      <alignment horizontal="left" vertical="top" wrapText="1"/>
      <protection locked="0"/>
    </xf>
    <xf numFmtId="2" fontId="0" fillId="0" borderId="1" xfId="0" applyNumberFormat="1" applyFill="1" applyBorder="1" applyAlignment="1" applyProtection="1">
      <alignment horizontal="left" vertical="top" wrapText="1"/>
      <protection locked="0"/>
    </xf>
    <xf numFmtId="2" fontId="0" fillId="0" borderId="5" xfId="0" applyNumberFormat="1" applyFill="1" applyBorder="1" applyAlignment="1" applyProtection="1">
      <alignment horizontal="left" vertical="top" wrapText="1"/>
      <protection locked="0"/>
    </xf>
    <xf numFmtId="2" fontId="0" fillId="0" borderId="14" xfId="0" quotePrefix="1" applyNumberFormat="1" applyFill="1" applyBorder="1" applyAlignment="1" applyProtection="1">
      <alignment horizontal="left" vertical="top" wrapText="1"/>
      <protection locked="0"/>
    </xf>
    <xf numFmtId="2" fontId="0" fillId="0" borderId="9" xfId="0" quotePrefix="1" applyNumberFormat="1" applyFill="1" applyBorder="1" applyAlignment="1" applyProtection="1">
      <alignment horizontal="left" vertical="top" wrapText="1"/>
      <protection locked="0"/>
    </xf>
    <xf numFmtId="2" fontId="0" fillId="3" borderId="8" xfId="0" applyNumberFormat="1" applyFill="1" applyBorder="1" applyAlignment="1" applyProtection="1">
      <alignment horizontal="left" vertical="top" wrapText="1"/>
    </xf>
    <xf numFmtId="2" fontId="0" fillId="0" borderId="9" xfId="0" applyNumberFormat="1" applyFill="1" applyBorder="1" applyAlignment="1" applyProtection="1">
      <alignment horizontal="left" vertical="top" wrapText="1"/>
      <protection locked="0"/>
    </xf>
    <xf numFmtId="2" fontId="0" fillId="0" borderId="8" xfId="0" quotePrefix="1" applyNumberFormat="1" applyFill="1" applyBorder="1" applyAlignment="1" applyProtection="1">
      <alignment horizontal="left" vertical="top" wrapText="1"/>
      <protection locked="0"/>
    </xf>
    <xf numFmtId="0" fontId="0" fillId="7" borderId="0" xfId="0" applyFill="1"/>
    <xf numFmtId="49" fontId="0" fillId="0" borderId="36" xfId="0" applyNumberFormat="1" applyFill="1" applyBorder="1" applyAlignment="1" applyProtection="1">
      <alignment horizontal="left" vertical="top" wrapText="1"/>
      <protection locked="0"/>
    </xf>
    <xf numFmtId="0" fontId="0" fillId="0" borderId="27" xfId="0" applyFill="1" applyBorder="1" applyAlignment="1" applyProtection="1">
      <alignment horizontal="left" vertical="top"/>
      <protection locked="0"/>
    </xf>
    <xf numFmtId="0" fontId="0" fillId="0" borderId="8" xfId="0" applyFont="1" applyFill="1" applyBorder="1" applyAlignment="1">
      <alignment horizontal="left" vertical="top"/>
    </xf>
    <xf numFmtId="0" fontId="0" fillId="0" borderId="1" xfId="0" applyFont="1" applyFill="1" applyBorder="1" applyAlignment="1">
      <alignment horizontal="left" vertical="top"/>
    </xf>
    <xf numFmtId="0" fontId="0" fillId="0" borderId="5" xfId="0" applyFont="1" applyFill="1" applyBorder="1" applyAlignment="1">
      <alignment horizontal="left" vertical="top"/>
    </xf>
    <xf numFmtId="2" fontId="0" fillId="0" borderId="14" xfId="0" applyNumberFormat="1" applyFill="1" applyBorder="1" applyAlignment="1" applyProtection="1">
      <alignment horizontal="left" vertical="top" wrapText="1"/>
      <protection locked="0"/>
    </xf>
    <xf numFmtId="2" fontId="0" fillId="0" borderId="68" xfId="0" applyNumberFormat="1" applyFill="1" applyBorder="1" applyAlignment="1" applyProtection="1">
      <alignment horizontal="left" vertical="top" wrapText="1"/>
      <protection locked="0"/>
    </xf>
    <xf numFmtId="2" fontId="0" fillId="0" borderId="69" xfId="0" quotePrefix="1" applyNumberFormat="1" applyFill="1" applyBorder="1" applyAlignment="1" applyProtection="1">
      <alignment horizontal="left" vertical="top" wrapText="1"/>
      <protection locked="0"/>
    </xf>
    <xf numFmtId="2" fontId="0" fillId="0" borderId="67" xfId="0" quotePrefix="1" applyNumberFormat="1" applyFill="1" applyBorder="1" applyAlignment="1" applyProtection="1">
      <alignment horizontal="left" vertical="top" wrapText="1"/>
      <protection locked="0"/>
    </xf>
    <xf numFmtId="4" fontId="0" fillId="3" borderId="52" xfId="0" applyNumberFormat="1" applyFill="1" applyBorder="1" applyAlignment="1">
      <alignment horizontal="center" vertical="center" wrapText="1"/>
    </xf>
    <xf numFmtId="4" fontId="0" fillId="3" borderId="14" xfId="0" applyNumberFormat="1" applyFill="1" applyBorder="1" applyAlignment="1">
      <alignment horizontal="left" vertical="top" wrapText="1"/>
    </xf>
    <xf numFmtId="0" fontId="3" fillId="3" borderId="22" xfId="0" applyFont="1" applyFill="1" applyBorder="1" applyAlignment="1">
      <alignment horizontal="left" vertical="top" wrapText="1"/>
    </xf>
    <xf numFmtId="2" fontId="3" fillId="3" borderId="28" xfId="0" applyNumberFormat="1" applyFont="1" applyFill="1" applyBorder="1" applyAlignment="1">
      <alignment wrapText="1"/>
    </xf>
    <xf numFmtId="2" fontId="3" fillId="3" borderId="0" xfId="0" applyNumberFormat="1" applyFont="1" applyFill="1" applyBorder="1" applyAlignment="1">
      <alignment wrapText="1"/>
    </xf>
    <xf numFmtId="2" fontId="3" fillId="3" borderId="20" xfId="0" applyNumberFormat="1" applyFont="1" applyFill="1" applyBorder="1" applyAlignment="1">
      <alignment wrapText="1"/>
    </xf>
    <xf numFmtId="2" fontId="3" fillId="3" borderId="21" xfId="0" applyNumberFormat="1" applyFont="1" applyFill="1" applyBorder="1" applyAlignment="1">
      <alignment wrapText="1"/>
    </xf>
    <xf numFmtId="2" fontId="3" fillId="3" borderId="22" xfId="0" applyNumberFormat="1" applyFont="1" applyFill="1" applyBorder="1" applyAlignment="1">
      <alignment wrapText="1"/>
    </xf>
    <xf numFmtId="0" fontId="0" fillId="0" borderId="55" xfId="0" applyFill="1" applyBorder="1" applyAlignment="1" applyProtection="1">
      <alignment horizontal="left" vertical="top" wrapText="1"/>
      <protection locked="0"/>
    </xf>
    <xf numFmtId="0" fontId="3" fillId="3" borderId="55" xfId="0" applyFont="1" applyFill="1" applyBorder="1" applyAlignment="1" applyProtection="1">
      <alignment horizontal="left" vertical="top" wrapText="1"/>
    </xf>
    <xf numFmtId="0" fontId="3" fillId="3" borderId="56" xfId="0" applyFont="1" applyFill="1" applyBorder="1" applyAlignment="1" applyProtection="1">
      <alignment horizontal="left" vertical="top" wrapText="1"/>
    </xf>
    <xf numFmtId="2" fontId="0" fillId="3" borderId="8" xfId="0" applyNumberFormat="1" applyFill="1" applyBorder="1" applyAlignment="1">
      <alignment horizontal="right" vertical="top" wrapText="1"/>
    </xf>
    <xf numFmtId="1" fontId="3" fillId="3" borderId="16" xfId="0" applyNumberFormat="1" applyFont="1" applyFill="1" applyBorder="1" applyAlignment="1">
      <alignment horizontal="left" vertical="top"/>
    </xf>
    <xf numFmtId="0" fontId="0" fillId="3" borderId="8" xfId="0" applyNumberFormat="1" applyFill="1" applyBorder="1" applyAlignment="1">
      <alignment horizontal="left" vertical="top" wrapText="1"/>
    </xf>
    <xf numFmtId="0" fontId="0" fillId="4" borderId="1" xfId="0" applyNumberFormat="1" applyFill="1" applyBorder="1" applyAlignment="1">
      <alignment horizontal="left" vertical="top" wrapText="1"/>
    </xf>
    <xf numFmtId="0" fontId="0" fillId="3" borderId="1" xfId="0" applyNumberFormat="1" applyFill="1" applyBorder="1" applyAlignment="1">
      <alignment horizontal="left" vertical="top" wrapText="1"/>
    </xf>
    <xf numFmtId="0" fontId="0" fillId="4" borderId="5" xfId="0" applyNumberFormat="1" applyFill="1" applyBorder="1" applyAlignment="1">
      <alignment horizontal="left" vertical="top" wrapText="1"/>
    </xf>
    <xf numFmtId="0" fontId="0" fillId="3" borderId="8" xfId="0" applyNumberFormat="1" applyFill="1" applyBorder="1" applyAlignment="1">
      <alignment horizontal="left" vertical="top"/>
    </xf>
    <xf numFmtId="0" fontId="0" fillId="0" borderId="1" xfId="0" applyBorder="1" applyAlignment="1" applyProtection="1">
      <alignment wrapText="1"/>
      <protection locked="0"/>
    </xf>
    <xf numFmtId="0" fontId="4" fillId="7" borderId="0" xfId="0" applyFont="1" applyFill="1"/>
    <xf numFmtId="0" fontId="10" fillId="7" borderId="0" xfId="0" applyFont="1" applyFill="1"/>
    <xf numFmtId="0" fontId="4" fillId="3" borderId="34" xfId="0" applyFont="1" applyFill="1" applyBorder="1" applyAlignment="1">
      <alignment horizontal="left" vertical="top" wrapText="1"/>
    </xf>
    <xf numFmtId="0" fontId="0" fillId="0" borderId="26"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8" xfId="0" applyBorder="1" applyAlignment="1" applyProtection="1">
      <alignment horizontal="left" wrapText="1"/>
      <protection locked="0"/>
    </xf>
    <xf numFmtId="0" fontId="0" fillId="0" borderId="45" xfId="0" applyBorder="1" applyAlignment="1" applyProtection="1">
      <alignment horizontal="left" vertical="top" wrapText="1"/>
      <protection locked="0"/>
    </xf>
    <xf numFmtId="0" fontId="0" fillId="3" borderId="51" xfId="0" applyFont="1" applyFill="1" applyBorder="1" applyAlignment="1">
      <alignment horizontal="left" vertical="top" wrapText="1"/>
    </xf>
    <xf numFmtId="0" fontId="0" fillId="3" borderId="44" xfId="0" applyFont="1" applyFill="1" applyBorder="1" applyAlignment="1">
      <alignment horizontal="left" vertical="top" wrapText="1"/>
    </xf>
    <xf numFmtId="0" fontId="0" fillId="3" borderId="43" xfId="0" applyFont="1" applyFill="1" applyBorder="1" applyAlignment="1">
      <alignment horizontal="left" vertical="top" wrapText="1"/>
    </xf>
    <xf numFmtId="2" fontId="0" fillId="3" borderId="8" xfId="0" applyNumberFormat="1" applyFont="1" applyFill="1" applyBorder="1" applyAlignment="1" applyProtection="1">
      <alignment horizontal="left" vertical="top"/>
    </xf>
    <xf numFmtId="0" fontId="0" fillId="3" borderId="0" xfId="0" applyFill="1" applyAlignment="1" applyProtection="1"/>
    <xf numFmtId="2" fontId="4" fillId="3" borderId="1" xfId="0" applyNumberFormat="1" applyFont="1" applyFill="1" applyBorder="1" applyAlignment="1" applyProtection="1">
      <alignment horizontal="left" vertical="top"/>
    </xf>
    <xf numFmtId="2" fontId="0" fillId="3" borderId="1" xfId="0" applyNumberFormat="1" applyFont="1" applyFill="1" applyBorder="1" applyAlignment="1" applyProtection="1">
      <alignment horizontal="left" vertical="top"/>
    </xf>
    <xf numFmtId="2" fontId="4" fillId="3" borderId="5" xfId="0" applyNumberFormat="1" applyFont="1" applyFill="1" applyBorder="1" applyAlignment="1" applyProtection="1">
      <alignment horizontal="left" vertical="top"/>
    </xf>
    <xf numFmtId="2" fontId="0" fillId="0" borderId="0" xfId="0" applyNumberFormat="1"/>
    <xf numFmtId="1" fontId="0" fillId="0" borderId="14" xfId="0" applyNumberFormat="1" applyBorder="1" applyAlignment="1">
      <alignment horizontal="left" vertical="top"/>
    </xf>
    <xf numFmtId="1" fontId="0" fillId="3" borderId="65" xfId="0" applyNumberFormat="1" applyFill="1" applyBorder="1" applyAlignment="1">
      <alignment horizontal="left" vertical="top" wrapText="1"/>
    </xf>
    <xf numFmtId="1" fontId="0" fillId="3" borderId="9" xfId="0" applyNumberFormat="1" applyFill="1" applyBorder="1" applyAlignment="1">
      <alignment horizontal="left" vertical="top" wrapText="1"/>
    </xf>
    <xf numFmtId="1" fontId="0" fillId="3" borderId="6" xfId="0" applyNumberFormat="1" applyFill="1" applyBorder="1" applyAlignment="1">
      <alignment horizontal="left" vertical="top" wrapText="1"/>
    </xf>
    <xf numFmtId="1" fontId="0" fillId="7" borderId="66" xfId="0" applyNumberFormat="1" applyFill="1" applyBorder="1"/>
    <xf numFmtId="1" fontId="0" fillId="7" borderId="0" xfId="0" applyNumberFormat="1" applyFill="1"/>
    <xf numFmtId="2" fontId="0" fillId="7" borderId="0" xfId="0" applyNumberFormat="1" applyFill="1"/>
    <xf numFmtId="1" fontId="0" fillId="3" borderId="14" xfId="0" applyNumberFormat="1" applyFill="1" applyBorder="1" applyAlignment="1" applyProtection="1">
      <alignment horizontal="left" vertical="top" wrapText="1"/>
    </xf>
    <xf numFmtId="1" fontId="0" fillId="3" borderId="8" xfId="0" applyNumberFormat="1" applyFill="1" applyBorder="1" applyAlignment="1" applyProtection="1">
      <alignment horizontal="left" vertical="top" wrapText="1"/>
    </xf>
  </cellXfs>
  <cellStyles count="1">
    <cellStyle name="Κανονικό" xfId="0" builtinId="0"/>
  </cellStyles>
  <dxfs count="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19050</xdr:rowOff>
    </xdr:from>
    <xdr:to>
      <xdr:col>0</xdr:col>
      <xdr:colOff>3314700</xdr:colOff>
      <xdr:row>17</xdr:row>
      <xdr:rowOff>371475</xdr:rowOff>
    </xdr:to>
    <xdr:sp macro="" textlink="">
      <xdr:nvSpPr>
        <xdr:cNvPr id="2" name="TextBox 1"/>
        <xdr:cNvSpPr txBox="1"/>
      </xdr:nvSpPr>
      <xdr:spPr>
        <a:xfrm>
          <a:off x="0" y="752475"/>
          <a:ext cx="3314700" cy="62103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l-GR" sz="1200" b="1" u="sng" baseline="0"/>
            <a:t>Β01</a:t>
          </a:r>
          <a:endParaRPr lang="el-GR" sz="1200" b="1" u="sng"/>
        </a:p>
        <a:p>
          <a:endParaRPr lang="el-GR" sz="1200"/>
        </a:p>
        <a:p>
          <a:r>
            <a:rPr lang="el-GR" sz="1200"/>
            <a:t>Ταχύτητα Μετάδοσης Δεδομένων στο Τμήμα Συγκέντρωσης του Δικτύου Πρόσβασης και στο Δίκτυο Κορμού</a:t>
          </a:r>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a:p>
          <a:r>
            <a:rPr lang="en-US" sz="1200" baseline="0"/>
            <a:t>- </a:t>
          </a:r>
          <a:r>
            <a:rPr lang="el-GR" sz="1200" baseline="0"/>
            <a:t>Για την συμπλήρωση της στήλης "ΤΚ στα οποία πραγματοποιήθηκαν μετρήσεις" συμπληρώνεται το φύλλο </a:t>
          </a:r>
          <a:r>
            <a:rPr lang="en-US" sz="1200" baseline="0"/>
            <a:t>"</a:t>
          </a:r>
          <a:r>
            <a:rPr lang="el-GR" sz="1200" baseline="0"/>
            <a:t>ΤΚ ΜΕΤΡΗΣΕΩΝ</a:t>
          </a:r>
          <a:r>
            <a:rPr lang="en-US" sz="1200" baseline="0"/>
            <a:t> B01"</a:t>
          </a:r>
          <a:endParaRPr lang="el-GR" sz="1200" baseline="0"/>
        </a:p>
        <a:p>
          <a:endParaRPr lang="el-GR"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19050</xdr:rowOff>
    </xdr:from>
    <xdr:to>
      <xdr:col>0</xdr:col>
      <xdr:colOff>3314700</xdr:colOff>
      <xdr:row>7</xdr:row>
      <xdr:rowOff>381000</xdr:rowOff>
    </xdr:to>
    <xdr:sp macro="" textlink="">
      <xdr:nvSpPr>
        <xdr:cNvPr id="2" name="TextBox 1"/>
        <xdr:cNvSpPr txBox="1"/>
      </xdr:nvSpPr>
      <xdr:spPr>
        <a:xfrm>
          <a:off x="0" y="600075"/>
          <a:ext cx="3314700" cy="23622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l-GR" sz="1200" b="1" u="sng" baseline="0"/>
            <a:t>Β0</a:t>
          </a:r>
          <a:r>
            <a:rPr lang="en-US" sz="1200" b="1" u="sng" baseline="0"/>
            <a:t>2</a:t>
          </a:r>
          <a:endParaRPr lang="el-GR" sz="1200" b="1" u="sng"/>
        </a:p>
        <a:p>
          <a:endParaRPr lang="el-GR" sz="1200"/>
        </a:p>
        <a:p>
          <a:r>
            <a:rPr lang="el-GR" sz="1200"/>
            <a:t>Χωρητικότητα Διασύνδεσης</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11</xdr:row>
      <xdr:rowOff>361950</xdr:rowOff>
    </xdr:to>
    <xdr:sp macro="" textlink="">
      <xdr:nvSpPr>
        <xdr:cNvPr id="2" name="TextBox 1"/>
        <xdr:cNvSpPr txBox="1"/>
      </xdr:nvSpPr>
      <xdr:spPr>
        <a:xfrm>
          <a:off x="0" y="438150"/>
          <a:ext cx="3314700" cy="379095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l-GR" sz="1200" b="1" u="sng" baseline="0"/>
            <a:t>Β0</a:t>
          </a:r>
          <a:r>
            <a:rPr lang="en-US" sz="1200" b="1" u="sng" baseline="0"/>
            <a:t>3</a:t>
          </a:r>
          <a:endParaRPr lang="el-GR" sz="1200" b="1" u="sng"/>
        </a:p>
        <a:p>
          <a:endParaRPr lang="en-US" sz="1200"/>
        </a:p>
        <a:p>
          <a:r>
            <a:rPr lang="el-GR" sz="1200"/>
            <a:t>Ποσοστό αποτυχίας κλήσεων </a:t>
          </a:r>
          <a:r>
            <a:rPr lang="en-US" sz="1200"/>
            <a:t>VoIP</a:t>
          </a:r>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5</xdr:row>
      <xdr:rowOff>504825</xdr:rowOff>
    </xdr:to>
    <xdr:sp macro="" textlink="">
      <xdr:nvSpPr>
        <xdr:cNvPr id="2" name="TextBox 1"/>
        <xdr:cNvSpPr txBox="1"/>
      </xdr:nvSpPr>
      <xdr:spPr>
        <a:xfrm>
          <a:off x="0" y="771525"/>
          <a:ext cx="3314700" cy="21336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l-GR" sz="1200" b="1" u="sng" baseline="0"/>
            <a:t>Β0</a:t>
          </a:r>
          <a:r>
            <a:rPr lang="en-US" sz="1200" b="1" u="sng" baseline="0"/>
            <a:t>4</a:t>
          </a:r>
          <a:endParaRPr lang="el-GR" sz="1200" b="1" u="sng"/>
        </a:p>
        <a:p>
          <a:endParaRPr lang="el-GR" sz="1200"/>
        </a:p>
        <a:p>
          <a:r>
            <a:rPr lang="el-GR" sz="1200"/>
            <a:t>Ποιότητα σύνδεσης για ομιλία </a:t>
          </a:r>
          <a:r>
            <a:rPr lang="en-US" sz="1200"/>
            <a:t>VoIP</a:t>
          </a:r>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-1</xdr:rowOff>
    </xdr:from>
    <xdr:to>
      <xdr:col>0</xdr:col>
      <xdr:colOff>3314700</xdr:colOff>
      <xdr:row>29</xdr:row>
      <xdr:rowOff>179293</xdr:rowOff>
    </xdr:to>
    <xdr:sp macro="" textlink="">
      <xdr:nvSpPr>
        <xdr:cNvPr id="2" name="TextBox 1"/>
        <xdr:cNvSpPr txBox="1"/>
      </xdr:nvSpPr>
      <xdr:spPr>
        <a:xfrm>
          <a:off x="0" y="1187823"/>
          <a:ext cx="3314700" cy="592791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l-GR" sz="1200" b="1" u="sng" baseline="0"/>
            <a:t>Β0</a:t>
          </a:r>
          <a:r>
            <a:rPr lang="en-US" sz="1200" b="1" u="sng" baseline="0"/>
            <a:t>5</a:t>
          </a:r>
          <a:endParaRPr lang="el-GR" sz="1200" b="1" u="sng"/>
        </a:p>
        <a:p>
          <a:endParaRPr lang="el-GR" sz="1200"/>
        </a:p>
        <a:p>
          <a:r>
            <a:rPr lang="el-GR" sz="1200"/>
            <a:t>Χρόνος παροχής για αρχική σύνδεση</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1</xdr:rowOff>
    </xdr:from>
    <xdr:to>
      <xdr:col>0</xdr:col>
      <xdr:colOff>3314700</xdr:colOff>
      <xdr:row>15</xdr:row>
      <xdr:rowOff>180976</xdr:rowOff>
    </xdr:to>
    <xdr:sp macro="" textlink="">
      <xdr:nvSpPr>
        <xdr:cNvPr id="2" name="TextBox 1"/>
        <xdr:cNvSpPr txBox="1"/>
      </xdr:nvSpPr>
      <xdr:spPr>
        <a:xfrm>
          <a:off x="0" y="971551"/>
          <a:ext cx="3314700" cy="38100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l-GR" sz="1200" b="1" u="sng" baseline="0"/>
            <a:t>Β0</a:t>
          </a:r>
          <a:r>
            <a:rPr lang="en-US" sz="1200" b="1" u="sng" baseline="0"/>
            <a:t>6</a:t>
          </a:r>
          <a:endParaRPr lang="el-GR" sz="1200" b="1" u="sng"/>
        </a:p>
        <a:p>
          <a:endParaRPr lang="el-GR" sz="1200"/>
        </a:p>
        <a:p>
          <a:r>
            <a:rPr lang="el-GR" sz="1200"/>
            <a:t>Συχνότητα αναφορών βλάβης ανά σύνδεση</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3314700</xdr:colOff>
      <xdr:row>29</xdr:row>
      <xdr:rowOff>171450</xdr:rowOff>
    </xdr:to>
    <xdr:sp macro="" textlink="">
      <xdr:nvSpPr>
        <xdr:cNvPr id="2" name="TextBox 1"/>
        <xdr:cNvSpPr txBox="1"/>
      </xdr:nvSpPr>
      <xdr:spPr>
        <a:xfrm>
          <a:off x="0" y="1581150"/>
          <a:ext cx="3314700" cy="57150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l-GR" sz="1200" b="1" u="sng" baseline="0"/>
            <a:t>Β0</a:t>
          </a:r>
          <a:r>
            <a:rPr lang="en-US" sz="1200" b="1" u="sng" baseline="0"/>
            <a:t>7</a:t>
          </a:r>
          <a:endParaRPr lang="el-GR" sz="1200" b="1" u="sng"/>
        </a:p>
        <a:p>
          <a:endParaRPr lang="el-GR" sz="1200"/>
        </a:p>
        <a:p>
          <a:r>
            <a:rPr lang="el-GR" sz="1200"/>
            <a:t>Χρόνος αποκατάστασης βλαβών</a:t>
          </a:r>
          <a:endParaRPr lang="en-US" sz="1200"/>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47626</xdr:colOff>
      <xdr:row>1</xdr:row>
      <xdr:rowOff>38100</xdr:rowOff>
    </xdr:from>
    <xdr:to>
      <xdr:col>13</xdr:col>
      <xdr:colOff>1828800</xdr:colOff>
      <xdr:row>1</xdr:row>
      <xdr:rowOff>390525</xdr:rowOff>
    </xdr:to>
    <xdr:sp macro="" textlink="">
      <xdr:nvSpPr>
        <xdr:cNvPr id="2" name="TextBox 1"/>
        <xdr:cNvSpPr txBox="1"/>
      </xdr:nvSpPr>
      <xdr:spPr>
        <a:xfrm>
          <a:off x="15154276" y="38100"/>
          <a:ext cx="6019799" cy="352425"/>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l-GR" sz="1100" b="1">
              <a:solidFill>
                <a:schemeClr val="accent2">
                  <a:lumMod val="50000"/>
                </a:schemeClr>
              </a:solidFill>
            </a:rPr>
            <a:t>Παροχή υπηρεσιών εγγυημένης ποιότητας / Δυνατότητα σύναψης </a:t>
          </a:r>
          <a:r>
            <a:rPr lang="en-US" sz="1100" b="1">
              <a:solidFill>
                <a:schemeClr val="accent2">
                  <a:lumMod val="50000"/>
                </a:schemeClr>
              </a:solidFill>
            </a:rPr>
            <a:t>SLA</a:t>
          </a:r>
          <a:endParaRPr lang="el-GR" sz="1100" b="1">
            <a:solidFill>
              <a:schemeClr val="accent2">
                <a:lumMod val="50000"/>
              </a:schemeClr>
            </a:solidFill>
          </a:endParaRPr>
        </a:p>
      </xdr:txBody>
    </xdr:sp>
    <xdr:clientData/>
  </xdr:twoCellAnchor>
  <xdr:twoCellAnchor>
    <xdr:from>
      <xdr:col>0</xdr:col>
      <xdr:colOff>0</xdr:colOff>
      <xdr:row>2</xdr:row>
      <xdr:rowOff>19050</xdr:rowOff>
    </xdr:from>
    <xdr:to>
      <xdr:col>0</xdr:col>
      <xdr:colOff>3314700</xdr:colOff>
      <xdr:row>6</xdr:row>
      <xdr:rowOff>942975</xdr:rowOff>
    </xdr:to>
    <xdr:sp macro="" textlink="">
      <xdr:nvSpPr>
        <xdr:cNvPr id="3" name="TextBox 2"/>
        <xdr:cNvSpPr txBox="1"/>
      </xdr:nvSpPr>
      <xdr:spPr>
        <a:xfrm>
          <a:off x="0" y="866775"/>
          <a:ext cx="3314700" cy="47339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l-GR" sz="1200" u="sng"/>
            <a:t>ΔΕΙΚΤΗΣ ΠΟΙΟΤΗΤΑΣ:</a:t>
          </a:r>
          <a:r>
            <a:rPr lang="el-GR" sz="1200" u="sng" baseline="0"/>
            <a:t> </a:t>
          </a:r>
          <a:r>
            <a:rPr lang="el-GR" sz="1200" b="1" u="sng" baseline="0"/>
            <a:t>Β0</a:t>
          </a:r>
          <a:r>
            <a:rPr lang="en-US" sz="1200" b="1" u="sng" baseline="0"/>
            <a:t>8</a:t>
          </a:r>
          <a:endParaRPr lang="el-GR" sz="1200" b="1" u="sng"/>
        </a:p>
        <a:p>
          <a:endParaRPr lang="el-GR" sz="1200"/>
        </a:p>
        <a:p>
          <a:r>
            <a:rPr lang="el-GR" sz="1200"/>
            <a:t>Περιορισμοί στη χρήση και Παροχή υπηρεσιών εγγυημένης ποιότητας / Δυνατότητα σύναψης Συμφωνιών Επιπέδου Υπηρεσίας (</a:t>
          </a:r>
          <a:r>
            <a:rPr lang="en-US" sz="1200"/>
            <a:t>SLAs)</a:t>
          </a:r>
        </a:p>
        <a:p>
          <a:endParaRPr lang="el-GR" sz="1200"/>
        </a:p>
        <a:p>
          <a:r>
            <a:rPr lang="el-GR" sz="1200" u="sng"/>
            <a:t>Οδηγίες συμπλήρωσης:</a:t>
          </a:r>
        </a:p>
        <a:p>
          <a:endParaRPr lang="el-GR" sz="1200"/>
        </a:p>
        <a:p>
          <a:r>
            <a:rPr lang="el-GR" sz="1200"/>
            <a:t>- Μην πραγματοποιείτε "Αποκοπή" ή "Διαγραφή" στα επεξεργάσιμα κελιά του φύλλου.</a:t>
          </a:r>
        </a:p>
        <a:p>
          <a:r>
            <a:rPr lang="el-GR" sz="1200"/>
            <a:t>- Η "Επικόλληση"</a:t>
          </a:r>
          <a:r>
            <a:rPr lang="el-GR" sz="1200" baseline="0"/>
            <a:t> επιτρέπεται.</a:t>
          </a:r>
          <a:endParaRPr lang="en-US" sz="12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dimosprofile.gr/media/dimos-iou/" TargetMode="External"/><Relationship Id="rId13" Type="http://schemas.openxmlformats.org/officeDocument/2006/relationships/hyperlink" Target="http://www.dimosprofile.gr/media/dimos-prevezas/" TargetMode="External"/><Relationship Id="rId18" Type="http://schemas.openxmlformats.org/officeDocument/2006/relationships/hyperlink" Target="http://www.dimosprofile.gr/media/dimos-spetson/" TargetMode="External"/><Relationship Id="rId3" Type="http://schemas.openxmlformats.org/officeDocument/2006/relationships/hyperlink" Target="http://www.dimosprofile.gr/media/dimos-kymis/" TargetMode="External"/><Relationship Id="rId7" Type="http://schemas.openxmlformats.org/officeDocument/2006/relationships/hyperlink" Target="http://www.dimosprofile.gr/media/dimos-notias-kinoyrias/" TargetMode="External"/><Relationship Id="rId12" Type="http://schemas.openxmlformats.org/officeDocument/2006/relationships/hyperlink" Target="http://www.dimosprofile.gr/media/dimos-mouresiou/" TargetMode="External"/><Relationship Id="rId17" Type="http://schemas.openxmlformats.org/officeDocument/2006/relationships/hyperlink" Target="http://www.dimosprofile.gr/media/dimos-ikarias/" TargetMode="External"/><Relationship Id="rId2" Type="http://schemas.openxmlformats.org/officeDocument/2006/relationships/hyperlink" Target="http://www.dimosprofile.gr/media/dimos-lokron/" TargetMode="External"/><Relationship Id="rId16" Type="http://schemas.openxmlformats.org/officeDocument/2006/relationships/hyperlink" Target="http://www.dimosprofile.gr/media/dimos-nafpaktias/" TargetMode="External"/><Relationship Id="rId20" Type="http://schemas.openxmlformats.org/officeDocument/2006/relationships/printerSettings" Target="../printerSettings/printerSettings3.bin"/><Relationship Id="rId1" Type="http://schemas.openxmlformats.org/officeDocument/2006/relationships/hyperlink" Target="http://www.dimosprofile.gr/media/dimos-doridas/" TargetMode="External"/><Relationship Id="rId6" Type="http://schemas.openxmlformats.org/officeDocument/2006/relationships/hyperlink" Target="http://www.dimosprofile.gr/media/dimos-monevasias/" TargetMode="External"/><Relationship Id="rId11" Type="http://schemas.openxmlformats.org/officeDocument/2006/relationships/hyperlink" Target="http://www.dimosprofile.gr/media/dimos-kerkyras/" TargetMode="External"/><Relationship Id="rId5" Type="http://schemas.openxmlformats.org/officeDocument/2006/relationships/hyperlink" Target="http://www.dimosprofile.gr/media/dimos-thivas/" TargetMode="External"/><Relationship Id="rId15" Type="http://schemas.openxmlformats.org/officeDocument/2006/relationships/hyperlink" Target="http://www.dimosprofile.gr/media/dimos-aigialias/" TargetMode="External"/><Relationship Id="rId10" Type="http://schemas.openxmlformats.org/officeDocument/2006/relationships/hyperlink" Target="http://www.dimosprofile.gr/media/dimos-edessas/" TargetMode="External"/><Relationship Id="rId19" Type="http://schemas.openxmlformats.org/officeDocument/2006/relationships/hyperlink" Target="http://www.dimosprofile.gr/media/dimos-samothrakis/" TargetMode="External"/><Relationship Id="rId4" Type="http://schemas.openxmlformats.org/officeDocument/2006/relationships/hyperlink" Target="http://www.dimosprofile.gr/media/dimos-karistou/" TargetMode="External"/><Relationship Id="rId9" Type="http://schemas.openxmlformats.org/officeDocument/2006/relationships/hyperlink" Target="http://www.dimosprofile.gr/media/dimos-ierapetras/" TargetMode="External"/><Relationship Id="rId14" Type="http://schemas.openxmlformats.org/officeDocument/2006/relationships/hyperlink" Target="http://www.dimosprofile.gr/media/dimos-florinas/"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dimosprofile.gr/media/dimos-iou/" TargetMode="External"/><Relationship Id="rId13" Type="http://schemas.openxmlformats.org/officeDocument/2006/relationships/hyperlink" Target="http://www.dimosprofile.gr/media/dimos-prevezas/" TargetMode="External"/><Relationship Id="rId18" Type="http://schemas.openxmlformats.org/officeDocument/2006/relationships/hyperlink" Target="http://www.dimosprofile.gr/media/dimos-spetson/" TargetMode="External"/><Relationship Id="rId3" Type="http://schemas.openxmlformats.org/officeDocument/2006/relationships/hyperlink" Target="http://www.dimosprofile.gr/media/dimos-kymis/" TargetMode="External"/><Relationship Id="rId7" Type="http://schemas.openxmlformats.org/officeDocument/2006/relationships/hyperlink" Target="http://www.dimosprofile.gr/media/dimos-notias-kinoyrias/" TargetMode="External"/><Relationship Id="rId12" Type="http://schemas.openxmlformats.org/officeDocument/2006/relationships/hyperlink" Target="http://www.dimosprofile.gr/media/dimos-mouresiou/" TargetMode="External"/><Relationship Id="rId17" Type="http://schemas.openxmlformats.org/officeDocument/2006/relationships/hyperlink" Target="http://www.dimosprofile.gr/media/dimos-ikarias/" TargetMode="External"/><Relationship Id="rId2" Type="http://schemas.openxmlformats.org/officeDocument/2006/relationships/hyperlink" Target="http://www.dimosprofile.gr/media/dimos-lokron/" TargetMode="External"/><Relationship Id="rId16" Type="http://schemas.openxmlformats.org/officeDocument/2006/relationships/hyperlink" Target="http://www.dimosprofile.gr/media/dimos-nafpaktias/" TargetMode="External"/><Relationship Id="rId20" Type="http://schemas.openxmlformats.org/officeDocument/2006/relationships/printerSettings" Target="../printerSettings/printerSettings4.bin"/><Relationship Id="rId1" Type="http://schemas.openxmlformats.org/officeDocument/2006/relationships/hyperlink" Target="http://www.dimosprofile.gr/media/dimos-doridas/" TargetMode="External"/><Relationship Id="rId6" Type="http://schemas.openxmlformats.org/officeDocument/2006/relationships/hyperlink" Target="http://www.dimosprofile.gr/media/dimos-monevasias/" TargetMode="External"/><Relationship Id="rId11" Type="http://schemas.openxmlformats.org/officeDocument/2006/relationships/hyperlink" Target="http://www.dimosprofile.gr/media/dimos-kerkyras/" TargetMode="External"/><Relationship Id="rId5" Type="http://schemas.openxmlformats.org/officeDocument/2006/relationships/hyperlink" Target="http://www.dimosprofile.gr/media/dimos-thivas/" TargetMode="External"/><Relationship Id="rId15" Type="http://schemas.openxmlformats.org/officeDocument/2006/relationships/hyperlink" Target="http://www.dimosprofile.gr/media/dimos-aigialias/" TargetMode="External"/><Relationship Id="rId10" Type="http://schemas.openxmlformats.org/officeDocument/2006/relationships/hyperlink" Target="http://www.dimosprofile.gr/media/dimos-edessas/" TargetMode="External"/><Relationship Id="rId19" Type="http://schemas.openxmlformats.org/officeDocument/2006/relationships/hyperlink" Target="http://www.dimosprofile.gr/media/dimos-samothrakis/" TargetMode="External"/><Relationship Id="rId4" Type="http://schemas.openxmlformats.org/officeDocument/2006/relationships/hyperlink" Target="http://www.dimosprofile.gr/media/dimos-karistou/" TargetMode="External"/><Relationship Id="rId9" Type="http://schemas.openxmlformats.org/officeDocument/2006/relationships/hyperlink" Target="http://www.dimosprofile.gr/media/dimos-ierapetras/" TargetMode="External"/><Relationship Id="rId14" Type="http://schemas.openxmlformats.org/officeDocument/2006/relationships/hyperlink" Target="http://www.dimosprofile.gr/media/dimos-florina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23"/>
  <sheetViews>
    <sheetView tabSelected="1" workbookViewId="0">
      <selection activeCell="B16" sqref="B16"/>
    </sheetView>
  </sheetViews>
  <sheetFormatPr defaultRowHeight="15" x14ac:dyDescent="0.25"/>
  <cols>
    <col min="1" max="1" width="41" style="174" customWidth="1"/>
    <col min="2" max="2" width="14.85546875" style="174" customWidth="1"/>
    <col min="3" max="3" width="58.7109375" style="174" customWidth="1"/>
    <col min="4" max="4" width="19.42578125" style="174" customWidth="1"/>
    <col min="5" max="16384" width="9.140625" style="174"/>
  </cols>
  <sheetData>
    <row r="1" spans="1:5" x14ac:dyDescent="0.25">
      <c r="A1" s="177"/>
      <c r="B1" s="177"/>
      <c r="C1" s="9" t="s">
        <v>28</v>
      </c>
    </row>
    <row r="2" spans="1:5" ht="22.5" customHeight="1" x14ac:dyDescent="0.25">
      <c r="A2" s="9" t="s">
        <v>28</v>
      </c>
      <c r="B2" s="9"/>
      <c r="C2" s="87" t="s">
        <v>498</v>
      </c>
    </row>
    <row r="3" spans="1:5" ht="22.5" customHeight="1" x14ac:dyDescent="0.25">
      <c r="A3" s="9" t="s">
        <v>548</v>
      </c>
      <c r="B3" s="9"/>
      <c r="C3" s="87"/>
    </row>
    <row r="4" spans="1:5" ht="22.5" hidden="1" customHeight="1" x14ac:dyDescent="0.25">
      <c r="A4" s="9" t="s">
        <v>28</v>
      </c>
      <c r="B4" s="9"/>
      <c r="C4" s="88" t="str">
        <f>IF(C2="",TEXT(C3,),C2)</f>
        <v>CYTA</v>
      </c>
    </row>
    <row r="5" spans="1:5" ht="22.5" customHeight="1" x14ac:dyDescent="0.25">
      <c r="A5" s="9" t="s">
        <v>0</v>
      </c>
      <c r="B5" s="9"/>
      <c r="C5" s="87" t="s">
        <v>24</v>
      </c>
    </row>
    <row r="6" spans="1:5" ht="22.5" customHeight="1" x14ac:dyDescent="0.25">
      <c r="A6" s="9" t="s">
        <v>1</v>
      </c>
      <c r="B6" s="9"/>
      <c r="C6" s="171">
        <v>2018</v>
      </c>
    </row>
    <row r="7" spans="1:5" ht="22.5" customHeight="1" x14ac:dyDescent="0.25">
      <c r="A7" s="9" t="s">
        <v>449</v>
      </c>
      <c r="B7" s="9"/>
      <c r="C7" s="172">
        <v>43101</v>
      </c>
    </row>
    <row r="8" spans="1:5" ht="22.5" customHeight="1" x14ac:dyDescent="0.25">
      <c r="A8" s="9" t="s">
        <v>450</v>
      </c>
      <c r="B8" s="9"/>
      <c r="C8" s="172">
        <v>43281</v>
      </c>
    </row>
    <row r="9" spans="1:5" ht="67.5" customHeight="1" x14ac:dyDescent="0.25">
      <c r="A9" s="9" t="s">
        <v>447</v>
      </c>
      <c r="B9" s="9"/>
      <c r="C9" s="7" t="str">
        <f>IF(LEN(ΠΕΡΙΦΕΡΕΙΑ!C15)&gt;2,LEFT(ΠΕΡΙΦΕΡΕΙΑ!C15,LEN(ΠΕΡΙΦΕΡΕΙΑ!C15)-2),"")</f>
        <v/>
      </c>
    </row>
    <row r="10" spans="1:5" ht="67.5" customHeight="1" x14ac:dyDescent="0.25">
      <c r="A10" s="9" t="s">
        <v>448</v>
      </c>
      <c r="B10" s="9"/>
      <c r="C10" s="10" t="str">
        <f>IF(LEN(ΔΗΜΟΣ!N326)&gt;2,LEFT(ΔΗΜΟΣ!N326,LEN(ΔΗΜΟΣ!N326)-2),"")</f>
        <v>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v>
      </c>
    </row>
    <row r="11" spans="1:5" ht="67.5" customHeight="1" x14ac:dyDescent="0.25">
      <c r="A11" s="9" t="s">
        <v>421</v>
      </c>
      <c r="B11" s="9"/>
      <c r="C11" s="287"/>
    </row>
    <row r="13" spans="1:5" ht="15.75" thickBot="1" x14ac:dyDescent="0.3"/>
    <row r="14" spans="1:5" ht="31.5" customHeight="1" thickBot="1" x14ac:dyDescent="0.3">
      <c r="A14" s="32" t="s">
        <v>918</v>
      </c>
      <c r="B14" s="50"/>
      <c r="C14" s="51" t="str">
        <f>IF(OR(C5="",C4="",C6="",C7="",C8=""),"ΤΑ ΣΤΟΙΧΕΙΑ ΔΕΝ ΕΙΝΑΙ ΠΛΗΡΗ","ΤΑ ΣΤΟΙΧΕΙΑ ΕΙΝΑΙ ΠΛΗΡΗ")</f>
        <v>ΤΑ ΣΤΟΙΧΕΙΑ ΕΙΝΑΙ ΠΛΗΡΗ</v>
      </c>
      <c r="E14" s="175"/>
    </row>
    <row r="15" spans="1:5" ht="31.5" customHeight="1" thickBot="1" x14ac:dyDescent="0.3">
      <c r="A15" s="178"/>
      <c r="B15" s="52" t="s">
        <v>487</v>
      </c>
      <c r="C15" s="51" t="str">
        <f>CONCATENATE(IF($B$16="ΝΑΙ",COUNTIF('B01'!N:N,"ΣΦΑΛΜΑ"),0)+IF(B17="ΝΑΙ",COUNTIF('B02'!N:N,"ΣΦΑΛΜΑ"),0)+COUNTIF('B03'!M:M,"ΣΦΑΛΜΑ")+COUNTIF('B04'!P:P,"ΣΦΑΛΜΑ")+COUNTIF('B05'!S:S,"ΣΦΑΛΜΑ")+COUNTIF('B06'!O:O,"ΣΦΑΛΜΑ")++COUNTIF('B07'!S:S,"ΣΦΑΛΜΑ")+COUNTIF('B08'!R:R,"ΣΦΑΛΜΑ")," ΣΦΑΛΜΑΤΑ")</f>
        <v>0 ΣΦΑΛΜΑΤΑ</v>
      </c>
    </row>
    <row r="16" spans="1:5" ht="15.75" thickBot="1" x14ac:dyDescent="0.3">
      <c r="A16" s="32" t="s">
        <v>486</v>
      </c>
      <c r="B16" s="173" t="s">
        <v>419</v>
      </c>
      <c r="C16" s="51" t="str">
        <f>IF(OR(B16="ΟΧΙ",COUNTIF('B01'!N:N,"ΣΦΑΛΜΑ")=0),"ΤΑ ΣΤΟΙΧΕΙΑ ΕΙΝΑΙ ΟΡΘΑ","ΥΠΑΡΧΟΥΝ ΛΑΘΗ")</f>
        <v>ΤΑ ΣΤΟΙΧΕΙΑ ΕΙΝΑΙ ΟΡΘΑ</v>
      </c>
      <c r="D16" s="176"/>
    </row>
    <row r="17" spans="1:3" ht="15.75" thickBot="1" x14ac:dyDescent="0.3">
      <c r="A17" s="32" t="s">
        <v>488</v>
      </c>
      <c r="B17" s="173" t="s">
        <v>419</v>
      </c>
      <c r="C17" s="51" t="str">
        <f>IF(OR(B17="ΟΧΙ",COUNTIF('B02'!N:N,"ΣΦΑΛΜΑ")=0),"ΤΑ ΣΤΟΙΧΕΙΑ ΕΙΝΑΙ ΟΡΘΑ","ΥΠΑΡΧΟΥΝ ΛΑΘΗ")</f>
        <v>ΤΑ ΣΤΟΙΧΕΙΑ ΕΙΝΑΙ ΟΡΘΑ</v>
      </c>
    </row>
    <row r="18" spans="1:3" ht="15.75" thickBot="1" x14ac:dyDescent="0.3">
      <c r="A18" s="32" t="s">
        <v>489</v>
      </c>
      <c r="B18" s="173" t="s">
        <v>419</v>
      </c>
      <c r="C18" s="51" t="str">
        <f>IF(OR(B18="ΟΧΙ",COUNTIF('B03'!M:M,"ΣΦΑΛΜΑ")=0),"ΤΑ ΣΤΟΙΧΕΙΑ ΕΙΝΑΙ ΟΡΘΑ","ΥΠΑΡΧΟΥΝ ΛΑΘΗ")</f>
        <v>ΤΑ ΣΤΟΙΧΕΙΑ ΕΙΝΑΙ ΟΡΘΑ</v>
      </c>
    </row>
    <row r="19" spans="1:3" ht="15.75" thickBot="1" x14ac:dyDescent="0.3">
      <c r="A19" s="32" t="s">
        <v>490</v>
      </c>
      <c r="B19" s="173" t="s">
        <v>419</v>
      </c>
      <c r="C19" s="51" t="str">
        <f>IF(OR(B19="ΟΧΙ",COUNTIF('B04'!P:P,"ΣΦΑΛΜΑ")=0),"ΤΑ ΣΤΟΙΧΕΙΑ ΕΙΝΑΙ ΟΡΘΑ","ΥΠΑΡΧΟΥΝ ΛΑΘΗ")</f>
        <v>ΤΑ ΣΤΟΙΧΕΙΑ ΕΙΝΑΙ ΟΡΘΑ</v>
      </c>
    </row>
    <row r="20" spans="1:3" ht="15.75" thickBot="1" x14ac:dyDescent="0.3">
      <c r="A20" s="32" t="s">
        <v>491</v>
      </c>
      <c r="B20" s="173" t="s">
        <v>419</v>
      </c>
      <c r="C20" s="51" t="str">
        <f>IF(OR(B20="ΟΧΙ",COUNTIF('B05'!S:S,"ΣΦΑΛΜΑ")=0),"ΤΑ ΣΤΟΙΧΕΙΑ ΕΙΝΑΙ ΟΡΘΑ","ΥΠΑΡΧΟΥΝ ΛΑΘΗ")</f>
        <v>ΤΑ ΣΤΟΙΧΕΙΑ ΕΙΝΑΙ ΟΡΘΑ</v>
      </c>
    </row>
    <row r="21" spans="1:3" ht="15.75" thickBot="1" x14ac:dyDescent="0.3">
      <c r="A21" s="32" t="s">
        <v>492</v>
      </c>
      <c r="B21" s="173" t="s">
        <v>419</v>
      </c>
      <c r="C21" s="51" t="str">
        <f>IF(OR(B21="ΟΧΙ",COUNTIF('B06'!O:O,"ΣΦΑΛΜΑ")=0),"ΤΑ ΣΤΟΙΧΕΙΑ ΕΙΝΑΙ ΟΡΘΑ","ΥΠΑΡΧΟΥΝ ΛΑΘΗ")</f>
        <v>ΤΑ ΣΤΟΙΧΕΙΑ ΕΙΝΑΙ ΟΡΘΑ</v>
      </c>
    </row>
    <row r="22" spans="1:3" ht="15.75" thickBot="1" x14ac:dyDescent="0.3">
      <c r="A22" s="32" t="s">
        <v>493</v>
      </c>
      <c r="B22" s="173" t="s">
        <v>419</v>
      </c>
      <c r="C22" s="51" t="str">
        <f>IF(OR(B21="ΟΧΙ",COUNTIF('B07'!S:S,"ΣΦΑΛΜΑ")=0),"ΤΑ ΣΤΟΙΧΕΙΑ ΕΙΝΑΙ ΟΡΘΑ","ΥΠΑΡΧΟΥΝ ΛΑΘΗ")</f>
        <v>ΤΑ ΣΤΟΙΧΕΙΑ ΕΙΝΑΙ ΟΡΘΑ</v>
      </c>
    </row>
    <row r="23" spans="1:3" ht="15.75" thickBot="1" x14ac:dyDescent="0.3">
      <c r="A23" s="32" t="s">
        <v>494</v>
      </c>
      <c r="B23" s="173" t="s">
        <v>419</v>
      </c>
      <c r="C23" s="51" t="str">
        <f>IF(OR(B23="ΟΧΙ",COUNTIF('B08'!R:R,"ΣΦΑΛΜΑ")=0),"ΤΑ ΣΤΟΙΧΕΙΑ ΕΙΝΑΙ ΟΡΘΑ","ΥΠΑΡΧΟΥΝ ΛΑΘΗ")</f>
        <v>ΤΑ ΣΤΟΙΧΕΙΑ ΕΙΝΑΙ ΟΡΘΑ</v>
      </c>
    </row>
  </sheetData>
  <sheetProtection algorithmName="SHA-512" hashValue="yi7nXM0LAcw8Rw32XnppahXTuSTBwkv+IaaL8O7DAvNCL4KaeuD23alAaMdhILqqB7QL+STZvA2q/MTbZlNFGg==" saltValue="2wemTMf18Z+fbmOz8o3d4g==" spinCount="100000" sheet="1" objects="1" scenarios="1" selectLockedCells="1"/>
  <conditionalFormatting sqref="C14:C15">
    <cfRule type="cellIs" dxfId="39" priority="19" operator="equal">
      <formula>"ΤΑ ΣΤΟΙΧΕΙΑ ΕΙΝΑΙ ΠΛΗΡΗ"</formula>
    </cfRule>
    <cfRule type="cellIs" dxfId="38" priority="20" operator="equal">
      <formula>"ΤΑ ΣΤΟΙΧΕΙΑ ΔΕΝ ΕΙΝΑΙ ΠΛΗΡΗ"</formula>
    </cfRule>
  </conditionalFormatting>
  <conditionalFormatting sqref="C16">
    <cfRule type="cellIs" dxfId="37" priority="17" operator="equal">
      <formula>"ΤΑ ΣΤΟΙΧΕΙΑ ΕΙΝΑΙ ΟΡΘΑ"</formula>
    </cfRule>
    <cfRule type="cellIs" dxfId="36" priority="18" operator="equal">
      <formula>"ΥΠΑΡΧΟΥΝ ΛΑΘΗ"</formula>
    </cfRule>
  </conditionalFormatting>
  <conditionalFormatting sqref="C23">
    <cfRule type="cellIs" dxfId="35" priority="1" operator="equal">
      <formula>"ΤΑ ΣΤΟΙΧΕΙΑ ΕΙΝΑΙ ΟΡΘΑ"</formula>
    </cfRule>
    <cfRule type="cellIs" dxfId="34" priority="2" operator="equal">
      <formula>"ΥΠΑΡΧΟΥΝ ΛΑΘΗ"</formula>
    </cfRule>
  </conditionalFormatting>
  <conditionalFormatting sqref="C17">
    <cfRule type="cellIs" dxfId="33" priority="13" operator="equal">
      <formula>"ΤΑ ΣΤΟΙΧΕΙΑ ΕΙΝΑΙ ΟΡΘΑ"</formula>
    </cfRule>
    <cfRule type="cellIs" dxfId="32" priority="14" operator="equal">
      <formula>"ΥΠΑΡΧΟΥΝ ΛΑΘΗ"</formula>
    </cfRule>
  </conditionalFormatting>
  <conditionalFormatting sqref="C18">
    <cfRule type="cellIs" dxfId="31" priority="11" operator="equal">
      <formula>"ΤΑ ΣΤΟΙΧΕΙΑ ΕΙΝΑΙ ΟΡΘΑ"</formula>
    </cfRule>
    <cfRule type="cellIs" dxfId="30" priority="12" operator="equal">
      <formula>"ΥΠΑΡΧΟΥΝ ΛΑΘΗ"</formula>
    </cfRule>
  </conditionalFormatting>
  <conditionalFormatting sqref="C19">
    <cfRule type="cellIs" dxfId="29" priority="9" operator="equal">
      <formula>"ΤΑ ΣΤΟΙΧΕΙΑ ΕΙΝΑΙ ΟΡΘΑ"</formula>
    </cfRule>
    <cfRule type="cellIs" dxfId="28" priority="10" operator="equal">
      <formula>"ΥΠΑΡΧΟΥΝ ΛΑΘΗ"</formula>
    </cfRule>
  </conditionalFormatting>
  <conditionalFormatting sqref="C20">
    <cfRule type="cellIs" dxfId="27" priority="7" operator="equal">
      <formula>"ΤΑ ΣΤΟΙΧΕΙΑ ΕΙΝΑΙ ΟΡΘΑ"</formula>
    </cfRule>
    <cfRule type="cellIs" dxfId="26" priority="8" operator="equal">
      <formula>"ΥΠΑΡΧΟΥΝ ΛΑΘΗ"</formula>
    </cfRule>
  </conditionalFormatting>
  <conditionalFormatting sqref="C21">
    <cfRule type="cellIs" dxfId="25" priority="5" operator="equal">
      <formula>"ΤΑ ΣΤΟΙΧΕΙΑ ΕΙΝΑΙ ΟΡΘΑ"</formula>
    </cfRule>
    <cfRule type="cellIs" dxfId="24" priority="6" operator="equal">
      <formula>"ΥΠΑΡΧΟΥΝ ΛΑΘΗ"</formula>
    </cfRule>
  </conditionalFormatting>
  <conditionalFormatting sqref="C22">
    <cfRule type="cellIs" dxfId="23" priority="3" operator="equal">
      <formula>"ΤΑ ΣΤΟΙΧΕΙΑ ΕΙΝΑΙ ΟΡΘΑ"</formula>
    </cfRule>
    <cfRule type="cellIs" dxfId="22" priority="4" operator="equal">
      <formula>"ΥΠΑΡΧΟΥΝ ΛΑΘΗ"</formula>
    </cfRule>
  </conditionalFormatting>
  <dataValidations count="4">
    <dataValidation type="list" allowBlank="1" showInputMessage="1" showErrorMessage="1" sqref="C2">
      <formula1>Operators.</formula1>
    </dataValidation>
    <dataValidation type="list" allowBlank="1" showInputMessage="1" showErrorMessage="1" sqref="C5">
      <formula1>Semester</formula1>
    </dataValidation>
    <dataValidation type="whole" allowBlank="1" showInputMessage="1" showErrorMessage="1" sqref="C6">
      <formula1>1990</formula1>
      <formula2>2030</formula2>
    </dataValidation>
    <dataValidation type="list" allowBlank="1" showInputMessage="1" showErrorMessage="1" sqref="B16:B23">
      <formula1>submitQI</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G1048576"/>
  <sheetViews>
    <sheetView topLeftCell="A2" zoomScaleNormal="100" workbookViewId="0">
      <selection activeCell="J30" sqref="J30"/>
    </sheetView>
  </sheetViews>
  <sheetFormatPr defaultColWidth="0" defaultRowHeight="15" zeroHeight="1" x14ac:dyDescent="0.25"/>
  <cols>
    <col min="1" max="1" width="50" style="174" customWidth="1"/>
    <col min="2" max="2" width="23" style="174" hidden="1" customWidth="1"/>
    <col min="3" max="3" width="17.5703125" style="174" customWidth="1"/>
    <col min="4" max="4" width="25.28515625" style="259" hidden="1" customWidth="1"/>
    <col min="5" max="5" width="37.140625" style="259" hidden="1" customWidth="1"/>
    <col min="6" max="6" width="38.140625" style="174" customWidth="1"/>
    <col min="7" max="7" width="19.85546875" style="174" customWidth="1"/>
    <col min="8" max="8" width="28.28515625" style="174" customWidth="1"/>
    <col min="9" max="9" width="28.28515625" style="174" hidden="1" customWidth="1"/>
    <col min="10" max="10" width="36.140625" style="174" customWidth="1"/>
    <col min="11" max="11" width="28.28515625" style="174" hidden="1" customWidth="1"/>
    <col min="12" max="12" width="19.85546875" style="309" customWidth="1"/>
    <col min="13" max="13" width="31.28515625" style="174" customWidth="1"/>
    <col min="14" max="14" width="31.28515625" style="310" hidden="1" customWidth="1"/>
    <col min="15" max="15" width="45.7109375" style="174" customWidth="1"/>
    <col min="16" max="16" width="31.28515625" style="174" customWidth="1"/>
    <col min="17" max="17" width="71.7109375" style="174" customWidth="1"/>
    <col min="18" max="18" width="5.7109375" style="174" customWidth="1"/>
    <col min="19" max="19" width="16.140625" style="174" customWidth="1"/>
    <col min="20" max="20" width="70.140625" style="174" customWidth="1"/>
    <col min="21" max="33" width="9.140625" style="289" hidden="1" customWidth="1"/>
    <col min="34" max="16384" width="9.140625" style="174" hidden="1"/>
  </cols>
  <sheetData>
    <row r="1" spans="1:33" ht="15.75" hidden="1" thickBot="1" x14ac:dyDescent="0.3">
      <c r="A1" t="s">
        <v>502</v>
      </c>
      <c r="B1" t="s">
        <v>501</v>
      </c>
      <c r="C1" t="s">
        <v>503</v>
      </c>
      <c r="D1" s="232" t="s">
        <v>900</v>
      </c>
      <c r="E1" s="232" t="s">
        <v>901</v>
      </c>
      <c r="F1" s="2" t="s">
        <v>506</v>
      </c>
      <c r="G1" t="s">
        <v>521</v>
      </c>
      <c r="H1" t="s">
        <v>516</v>
      </c>
      <c r="I1" t="s">
        <v>522</v>
      </c>
      <c r="J1" t="s">
        <v>516</v>
      </c>
      <c r="K1" t="s">
        <v>523</v>
      </c>
      <c r="L1" t="s">
        <v>524</v>
      </c>
      <c r="M1" s="231" t="s">
        <v>516</v>
      </c>
      <c r="N1" s="234" t="s">
        <v>525</v>
      </c>
      <c r="O1" s="24" t="s">
        <v>526</v>
      </c>
      <c r="P1" s="24" t="s">
        <v>527</v>
      </c>
      <c r="Q1" s="24" t="s">
        <v>509</v>
      </c>
      <c r="S1" s="24" t="s">
        <v>516</v>
      </c>
      <c r="T1" s="24" t="s">
        <v>516</v>
      </c>
      <c r="U1" s="197"/>
      <c r="V1" s="197"/>
      <c r="W1" s="197"/>
      <c r="X1" s="197"/>
      <c r="Y1" s="197"/>
      <c r="Z1" s="197"/>
      <c r="AA1" s="174"/>
      <c r="AB1" s="174"/>
      <c r="AC1" s="174"/>
      <c r="AD1" s="174"/>
      <c r="AE1" s="174"/>
      <c r="AF1" s="174"/>
      <c r="AG1" s="174"/>
    </row>
    <row r="2" spans="1:33" ht="93.75" thickBot="1" x14ac:dyDescent="0.3">
      <c r="A2" s="3" t="s">
        <v>422</v>
      </c>
      <c r="B2" s="4" t="s">
        <v>28</v>
      </c>
      <c r="C2" s="4" t="s">
        <v>433</v>
      </c>
      <c r="D2" s="233"/>
      <c r="E2" s="233"/>
      <c r="F2" s="4" t="s">
        <v>545</v>
      </c>
      <c r="G2" s="4" t="s">
        <v>463</v>
      </c>
      <c r="H2" s="4" t="s">
        <v>556</v>
      </c>
      <c r="I2" s="4" t="s">
        <v>558</v>
      </c>
      <c r="J2" s="85" t="s">
        <v>568</v>
      </c>
      <c r="K2" s="4" t="s">
        <v>559</v>
      </c>
      <c r="L2" s="134" t="s">
        <v>567</v>
      </c>
      <c r="M2" s="4" t="s">
        <v>557</v>
      </c>
      <c r="N2" s="233" t="s">
        <v>557</v>
      </c>
      <c r="O2" s="4" t="s">
        <v>464</v>
      </c>
      <c r="P2" s="85" t="s">
        <v>465</v>
      </c>
      <c r="Q2" s="22" t="s">
        <v>421</v>
      </c>
      <c r="S2" s="46" t="s">
        <v>452</v>
      </c>
      <c r="T2" s="139" t="s">
        <v>452</v>
      </c>
      <c r="U2" s="197"/>
      <c r="V2" s="197"/>
      <c r="W2" s="289" t="s">
        <v>572</v>
      </c>
      <c r="X2" s="289" t="s">
        <v>573</v>
      </c>
      <c r="Y2" s="197"/>
      <c r="Z2" s="197"/>
      <c r="AA2" s="174"/>
      <c r="AB2" s="174"/>
      <c r="AC2" s="174"/>
      <c r="AD2" s="174"/>
      <c r="AE2" s="174"/>
      <c r="AF2" s="174"/>
      <c r="AG2" s="174"/>
    </row>
    <row r="3" spans="1:33" ht="90" customHeight="1" thickTop="1" thickBot="1" x14ac:dyDescent="0.3">
      <c r="A3" s="39" t="s">
        <v>466</v>
      </c>
      <c r="B3" s="47" t="str">
        <f>ΓΕΝΙΚΑ!C4</f>
        <v>CYTA</v>
      </c>
      <c r="C3" s="135" t="s">
        <v>434</v>
      </c>
      <c r="D3" s="237">
        <f>IF(S3="",IF(ΓΕΝΙΚΑ!$B$20="ΝΑΙ",15300,""),"")</f>
        <v>15300</v>
      </c>
      <c r="E3" s="282" t="str">
        <f>IF(ΓΕΝΙΚΑ!$B$20="ΝΑΙ","ΠΑΝΕΛΛΑΔΙΚΑ","")</f>
        <v>ΠΑΝΕΛΛΑΔΙΚΑ</v>
      </c>
      <c r="F3" s="40" t="s">
        <v>552</v>
      </c>
      <c r="G3" s="5">
        <v>50</v>
      </c>
      <c r="H3" s="136">
        <v>1.33</v>
      </c>
      <c r="I3" s="140"/>
      <c r="J3" s="136">
        <v>6.67</v>
      </c>
      <c r="K3" s="140">
        <f>IF(ISNUMBER(J3),ROUND(J3,2),"")</f>
        <v>6.67</v>
      </c>
      <c r="L3" s="59">
        <f>IF(AND(ISNUMBER(H3),ISNUMBER(J3)),ROUND(H3+J3,0),IF(ISNUMBER(H3),ROUND(H3,0),IF(ISNUMBER(J3),ROUND(J3,0),"")))</f>
        <v>8</v>
      </c>
      <c r="M3" s="251"/>
      <c r="N3" s="251" t="str">
        <f>IF(ISNUMBER(M3),ROUND(M3,2),"")</f>
        <v/>
      </c>
      <c r="O3" s="266" t="s">
        <v>944</v>
      </c>
      <c r="P3" s="267" t="s">
        <v>945</v>
      </c>
      <c r="Q3" s="268" t="s">
        <v>946</v>
      </c>
      <c r="S3" s="126" t="str">
        <f>IF(T3="","","ΣΦΑΛΜΑ")</f>
        <v/>
      </c>
      <c r="T3" s="195" t="str">
        <f>CONCATENATE(IF(L3="",U3,""),IF(L3&gt;L17,V3,""),IF(H3&gt;H17,W3,""),IF(J3&gt;J17,X3,""),IF(M3&lt;&gt;"",IF(AND(ISNUMBER(M3),M3&gt;=0,M3&lt;=100),"","  |  Το Ποσοστό Παραγγελιών που έχουν Ολοκληρωθεί μέχρι Ημερομηνία που Συμφωνήθηκε με Πελάτη πρέπει να είναι αριθμός από 0 έως 100"),""))</f>
        <v/>
      </c>
      <c r="U3" s="289" t="s">
        <v>570</v>
      </c>
      <c r="V3" s="289" t="s">
        <v>571</v>
      </c>
      <c r="Y3" s="289" t="s">
        <v>574</v>
      </c>
    </row>
    <row r="4" spans="1:33" ht="33.75" customHeight="1" x14ac:dyDescent="0.25">
      <c r="A4" s="41" t="str">
        <f t="shared" ref="A4:A30" si="0">A$3</f>
        <v>B05</v>
      </c>
      <c r="B4" s="38" t="str">
        <f>B$3</f>
        <v>CYTA</v>
      </c>
      <c r="C4" s="38" t="str">
        <f t="shared" ref="C4:C30" si="1">$C$3</f>
        <v>Άμεση</v>
      </c>
      <c r="D4" s="224">
        <f>IF(S4="",IF(ΓΕΝΙΚΑ!$B$20="ΝΑΙ",14664,""),"")</f>
        <v>14664</v>
      </c>
      <c r="E4" s="283" t="str">
        <f>IF(ΓΕΝΙΚΑ!$B$20="ΝΑΙ","Π. ΑΝΑΤΟΛΙΚΗΣ ΜΑΚΕΔΟΝΙΑΣ - ΘΡΑΚΗΣ","")</f>
        <v>Π. ΑΝΑΤΟΛΙΚΗΣ ΜΑΚΕΔΟΝΙΑΣ - ΘΡΑΚΗΣ</v>
      </c>
      <c r="F4" s="23" t="s">
        <v>39</v>
      </c>
      <c r="G4" s="23">
        <v>50</v>
      </c>
      <c r="H4" s="137">
        <v>1.33</v>
      </c>
      <c r="I4" s="256"/>
      <c r="J4" s="137">
        <v>6.67</v>
      </c>
      <c r="K4" s="256">
        <f t="shared" ref="K4:K30" si="2">IF(ISNUMBER(J4),ROUND(J4,2),"")</f>
        <v>6.67</v>
      </c>
      <c r="L4" s="59">
        <f t="shared" ref="L4:L30" si="3">IF(AND(ISNUMBER(H4),ISNUMBER(J4)),ROUND(H4+J4,0),IF(ISNUMBER(H4),ROUND(H4,0),IF(ISNUMBER(J4),ROUND(J4,0),"")))</f>
        <v>8</v>
      </c>
      <c r="M4" s="252"/>
      <c r="N4" s="265" t="str">
        <f t="shared" ref="N4:N16" si="4">IF(ISNUMBER(M4),ROUND(M4,2),"")</f>
        <v/>
      </c>
      <c r="O4" s="272" t="str">
        <f>O$3</f>
        <v>Μέσω Τηλεφώνου (13877-215 50 13877/13878-215 50 13878)  ή 
μέσω E-mail: cytacc@hq.cyta.gr ή μέσω Fax (215 555 5900):  Δευτέρα - Παρασκευή: 08:00-22:00 &amp; Σάββατο : 09:00-17:00</v>
      </c>
      <c r="P4" s="273" t="str">
        <f t="shared" ref="P4:Q30" si="5">P$3</f>
        <v>Οι συναντήσεις καθορίζονται αμοιβαία με τον πελάτη</v>
      </c>
      <c r="Q4" s="274" t="str">
        <f t="shared" si="5"/>
        <v>Οι αναφερόμενες ημερολογιακές ημέρες δεν σχετίζονται με το μέσο χρόνο ενεργοποίησης των υπηρεσιών Cyta. Ενδεικτικά, σε δείγμα 100 αιτήσεων με 1η αίτηση την ταχύτερα ενεργοποιημένη και 100η την αίτηση με το μεγαλύτερο χρόνο καθυστέρησης, βάσει του κανονισμού της ΕΕΤΤ, παρατίθενται οι χρόνοι για την 50η και 95η αίτηση αντίστοιχα, ώστε να φαίνονται ξεκάθαρα οι μέγιστοι χρόνοι αναμονής για ενεργοποίηση της υπηρεσίας.</v>
      </c>
      <c r="S4" s="126" t="str">
        <f t="shared" ref="S4:S30" si="6">IF(T4="","","ΣΦΑΛΜΑ")</f>
        <v/>
      </c>
      <c r="T4" s="195" t="str">
        <f>IF(ΠΕΡΙΦΕΡΕΙΑ!B2="Καθόλου",IF(OR(H4&lt;&gt;"",J4&lt;&gt;"",M4&lt;&gt;""),"Η περιφέρεια δεν καλύπτεται",""),CONCATENATE(IF(L4="",U4,""),IF(L4&gt;L18,V4,""),IF(H4&gt;H18,W4,""),IF(J4&gt;J18,X4,""),IF(M4&lt;&gt;"",IF(AND(ISNUMBER(M4),M4&gt;=0,M4&lt;=100),"","  |  Το Ποσοστό Παραγγελιών που έχουν Ολοκληρωθεί μέχρι Ημερομηνία που Συμφωνήθηκε με Πελάτη πρέπει να είναι αριθμός από 0 έως 100"),"")))</f>
        <v/>
      </c>
      <c r="U4" s="289" t="s">
        <v>570</v>
      </c>
      <c r="V4" s="289" t="s">
        <v>571</v>
      </c>
      <c r="Y4" s="289" t="s">
        <v>574</v>
      </c>
    </row>
    <row r="5" spans="1:33" ht="25.5" customHeight="1" x14ac:dyDescent="0.25">
      <c r="A5" s="41" t="str">
        <f t="shared" si="0"/>
        <v>B05</v>
      </c>
      <c r="B5" s="38" t="str">
        <f t="shared" ref="B5:B30" si="7">B$3</f>
        <v>CYTA</v>
      </c>
      <c r="C5" s="38" t="str">
        <f t="shared" si="1"/>
        <v>Άμεση</v>
      </c>
      <c r="D5" s="238">
        <f>IF(S5="",IF(ΓΕΝΙΚΑ!$B$20="ΝΑΙ",14666,""),"")</f>
        <v>14666</v>
      </c>
      <c r="E5" s="284" t="str">
        <f>IF(ΓΕΝΙΚΑ!$B$20="ΝΑΙ","Π. ΑΤΤΙΚΗΣ","")</f>
        <v>Π. ΑΤΤΙΚΗΣ</v>
      </c>
      <c r="F5" s="7" t="s">
        <v>40</v>
      </c>
      <c r="G5" s="7">
        <v>50</v>
      </c>
      <c r="H5" s="137">
        <v>1.33</v>
      </c>
      <c r="I5" s="256"/>
      <c r="J5" s="137">
        <v>6.67</v>
      </c>
      <c r="K5" s="256">
        <f t="shared" si="2"/>
        <v>6.67</v>
      </c>
      <c r="L5" s="59">
        <f t="shared" si="3"/>
        <v>8</v>
      </c>
      <c r="M5" s="252"/>
      <c r="N5" s="265" t="str">
        <f t="shared" si="4"/>
        <v/>
      </c>
      <c r="O5" s="272" t="str">
        <f t="shared" ref="O5:O30" si="8">O$3</f>
        <v>Μέσω Τηλεφώνου (13877-215 50 13877/13878-215 50 13878)  ή 
μέσω E-mail: cytacc@hq.cyta.gr ή μέσω Fax (215 555 5900):  Δευτέρα - Παρασκευή: 08:00-22:00 &amp; Σάββατο : 09:00-17:00</v>
      </c>
      <c r="P5" s="273" t="str">
        <f t="shared" si="5"/>
        <v>Οι συναντήσεις καθορίζονται αμοιβαία με τον πελάτη</v>
      </c>
      <c r="Q5" s="274" t="str">
        <f t="shared" si="5"/>
        <v>Οι αναφερόμενες ημερολογιακές ημέρες δεν σχετίζονται με το μέσο χρόνο ενεργοποίησης των υπηρεσιών Cyta. Ενδεικτικά, σε δείγμα 100 αιτήσεων με 1η αίτηση την ταχύτερα ενεργοποιημένη και 100η την αίτηση με το μεγαλύτερο χρόνο καθυστέρησης, βάσει του κανονισμού της ΕΕΤΤ, παρατίθενται οι χρόνοι για την 50η και 95η αίτηση αντίστοιχα, ώστε να φαίνονται ξεκάθαρα οι μέγιστοι χρόνοι αναμονής για ενεργοποίηση της υπηρεσίας.</v>
      </c>
      <c r="S5" s="126" t="str">
        <f t="shared" si="6"/>
        <v/>
      </c>
      <c r="T5" s="195" t="str">
        <f>IF(ΠΕΡΙΦΕΡΕΙΑ!B3="Καθόλου",IF(OR(H5&lt;&gt;"",J5&lt;&gt;"",M5&lt;&gt;""),"Η περιφέρεια δεν καλύπτεται",""),CONCATENATE(IF(L5="",U5,""),IF(L5&gt;L19,V5,""),IF(H5&gt;H19,W5,""),IF(J5&gt;J19,X5,""),IF(M5&lt;&gt;"",IF(AND(ISNUMBER(M5),M5&gt;=0,M5&lt;=100),"","  |  Το Ποσοστό Παραγγελιών που έχουν Ολοκληρωθεί μέχρι Ημερομηνία που Συμφωνήθηκε με Πελάτη πρέπει να είναι αριθμός από 0 έως 100"),"")))</f>
        <v/>
      </c>
      <c r="U5" s="289" t="s">
        <v>570</v>
      </c>
      <c r="V5" s="289" t="s">
        <v>571</v>
      </c>
      <c r="Y5" s="289" t="s">
        <v>574</v>
      </c>
    </row>
    <row r="6" spans="1:33" ht="24.75" customHeight="1" x14ac:dyDescent="0.25">
      <c r="A6" s="41" t="str">
        <f t="shared" si="0"/>
        <v>B05</v>
      </c>
      <c r="B6" s="38" t="str">
        <f t="shared" si="7"/>
        <v>CYTA</v>
      </c>
      <c r="C6" s="38" t="str">
        <f t="shared" si="1"/>
        <v>Άμεση</v>
      </c>
      <c r="D6" s="224">
        <f>IF(S3="",IF(ΓΕΝΙΚΑ!$B$20="ΝΑΙ",14668,""),"")</f>
        <v>14668</v>
      </c>
      <c r="E6" s="283" t="str">
        <f>IF(ΓΕΝΙΚΑ!$B$20="ΝΑΙ","Π. ΒΟΡΕΙΟΥ ΑΙΓΑΙΟΥ","")</f>
        <v>Π. ΒΟΡΕΙΟΥ ΑΙΓΑΙΟΥ</v>
      </c>
      <c r="F6" s="23" t="s">
        <v>404</v>
      </c>
      <c r="G6" s="23">
        <v>50</v>
      </c>
      <c r="H6" s="137"/>
      <c r="I6" s="256"/>
      <c r="J6" s="137"/>
      <c r="K6" s="256" t="str">
        <f t="shared" si="2"/>
        <v/>
      </c>
      <c r="L6" s="59" t="str">
        <f t="shared" si="3"/>
        <v/>
      </c>
      <c r="M6" s="252"/>
      <c r="N6" s="265" t="str">
        <f t="shared" si="4"/>
        <v/>
      </c>
      <c r="O6" s="272" t="str">
        <f t="shared" si="8"/>
        <v>Μέσω Τηλεφώνου (13877-215 50 13877/13878-215 50 13878)  ή 
μέσω E-mail: cytacc@hq.cyta.gr ή μέσω Fax (215 555 5900):  Δευτέρα - Παρασκευή: 08:00-22:00 &amp; Σάββατο : 09:00-17:00</v>
      </c>
      <c r="P6" s="273" t="str">
        <f t="shared" si="5"/>
        <v>Οι συναντήσεις καθορίζονται αμοιβαία με τον πελάτη</v>
      </c>
      <c r="Q6" s="274" t="str">
        <f t="shared" si="5"/>
        <v>Οι αναφερόμενες ημερολογιακές ημέρες δεν σχετίζονται με το μέσο χρόνο ενεργοποίησης των υπηρεσιών Cyta. Ενδεικτικά, σε δείγμα 100 αιτήσεων με 1η αίτηση την ταχύτερα ενεργοποιημένη και 100η την αίτηση με το μεγαλύτερο χρόνο καθυστέρησης, βάσει του κανονισμού της ΕΕΤΤ, παρατίθενται οι χρόνοι για την 50η και 95η αίτηση αντίστοιχα, ώστε να φαίνονται ξεκάθαρα οι μέγιστοι χρόνοι αναμονής για ενεργοποίηση της υπηρεσίας.</v>
      </c>
      <c r="S6" s="126" t="str">
        <f t="shared" si="6"/>
        <v/>
      </c>
      <c r="T6" s="195" t="str">
        <f>IF(ΠΕΡΙΦΕΡΕΙΑ!B4="Καθόλου",IF(OR(H6&lt;&gt;"",J6&lt;&gt;"",M6&lt;&gt;""),"Η περιφέρεια δεν καλύπτεται",""),CONCATENATE(IF(L6="",U6,""),IF(L6&gt;L20,V6,""),IF(H6&gt;H20,W6,""),IF(J6&gt;J20,X6,""),IF(M6&lt;&gt;"",IF(AND(ISNUMBER(M6),M6&gt;=0,M6&lt;=100),"","  |  Το Ποσοστό Παραγγελιών που έχουν Ολοκληρωθεί μέχρι Ημερομηνία που Συμφωνήθηκε με Πελάτη πρέπει να είναι αριθμός από 0 έως 100"),"")))</f>
        <v/>
      </c>
      <c r="U6" s="289" t="s">
        <v>570</v>
      </c>
      <c r="V6" s="289" t="s">
        <v>571</v>
      </c>
      <c r="Y6" s="289" t="s">
        <v>574</v>
      </c>
    </row>
    <row r="7" spans="1:33" ht="24" customHeight="1" x14ac:dyDescent="0.25">
      <c r="A7" s="41" t="str">
        <f t="shared" si="0"/>
        <v>B05</v>
      </c>
      <c r="B7" s="38" t="str">
        <f t="shared" si="7"/>
        <v>CYTA</v>
      </c>
      <c r="C7" s="38" t="str">
        <f t="shared" si="1"/>
        <v>Άμεση</v>
      </c>
      <c r="D7" s="238">
        <f>IF(S7="",IF(ΓΕΝΙΚΑ!$B$20="ΝΑΙ",14670,""),"")</f>
        <v>14670</v>
      </c>
      <c r="E7" s="284" t="str">
        <f>IF(ΓΕΝΙΚΑ!$B$20="ΝΑΙ","Π. ΔΥΤΙΚΗΣ ΕΛΛΑΔΑΣ","")</f>
        <v>Π. ΔΥΤΙΚΗΣ ΕΛΛΑΔΑΣ</v>
      </c>
      <c r="F7" s="7" t="s">
        <v>405</v>
      </c>
      <c r="G7" s="7">
        <v>50</v>
      </c>
      <c r="H7" s="137">
        <v>0</v>
      </c>
      <c r="I7" s="256"/>
      <c r="J7" s="137">
        <v>8</v>
      </c>
      <c r="K7" s="256">
        <f t="shared" si="2"/>
        <v>8</v>
      </c>
      <c r="L7" s="59">
        <f t="shared" si="3"/>
        <v>8</v>
      </c>
      <c r="M7" s="252"/>
      <c r="N7" s="265" t="str">
        <f t="shared" si="4"/>
        <v/>
      </c>
      <c r="O7" s="272" t="str">
        <f t="shared" si="8"/>
        <v>Μέσω Τηλεφώνου (13877-215 50 13877/13878-215 50 13878)  ή 
μέσω E-mail: cytacc@hq.cyta.gr ή μέσω Fax (215 555 5900):  Δευτέρα - Παρασκευή: 08:00-22:00 &amp; Σάββατο : 09:00-17:00</v>
      </c>
      <c r="P7" s="273" t="str">
        <f t="shared" si="5"/>
        <v>Οι συναντήσεις καθορίζονται αμοιβαία με τον πελάτη</v>
      </c>
      <c r="Q7" s="274" t="str">
        <f t="shared" si="5"/>
        <v>Οι αναφερόμενες ημερολογιακές ημέρες δεν σχετίζονται με το μέσο χρόνο ενεργοποίησης των υπηρεσιών Cyta. Ενδεικτικά, σε δείγμα 100 αιτήσεων με 1η αίτηση την ταχύτερα ενεργοποιημένη και 100η την αίτηση με το μεγαλύτερο χρόνο καθυστέρησης, βάσει του κανονισμού της ΕΕΤΤ, παρατίθενται οι χρόνοι για την 50η και 95η αίτηση αντίστοιχα, ώστε να φαίνονται ξεκάθαρα οι μέγιστοι χρόνοι αναμονής για ενεργοποίηση της υπηρεσίας.</v>
      </c>
      <c r="S7" s="126" t="str">
        <f t="shared" si="6"/>
        <v/>
      </c>
      <c r="T7" s="195" t="str">
        <f>IF(ΠΕΡΙΦΕΡΕΙΑ!B5="Καθόλου",IF(OR(H7&lt;&gt;"",J7&lt;&gt;"",M7&lt;&gt;""),"Η περιφέρεια δεν καλύπτεται",""),CONCATENATE(IF(L7="",U7,""),IF(L7&gt;L21,V7,""),IF(H7&gt;H21,W7,""),IF(J7&gt;J21,X7,""),IF(M7&lt;&gt;"",IF(AND(ISNUMBER(M7),M7&gt;=0,M7&lt;=100),"","  |  Το Ποσοστό Παραγγελιών που έχουν Ολοκληρωθεί μέχρι Ημερομηνία που Συμφωνήθηκε με Πελάτη πρέπει να είναι αριθμός από 0 έως 100"),"")))</f>
        <v/>
      </c>
      <c r="U7" s="289" t="s">
        <v>570</v>
      </c>
      <c r="V7" s="289" t="s">
        <v>571</v>
      </c>
      <c r="Y7" s="289" t="s">
        <v>574</v>
      </c>
    </row>
    <row r="8" spans="1:33" ht="26.25" customHeight="1" x14ac:dyDescent="0.25">
      <c r="A8" s="41" t="str">
        <f t="shared" si="0"/>
        <v>B05</v>
      </c>
      <c r="B8" s="38" t="str">
        <f t="shared" si="7"/>
        <v>CYTA</v>
      </c>
      <c r="C8" s="38" t="str">
        <f t="shared" si="1"/>
        <v>Άμεση</v>
      </c>
      <c r="D8" s="224">
        <f>IF(S8="",IF(ΓΕΝΙΚΑ!$B$20="ΝΑΙ",14672,""),"")</f>
        <v>14672</v>
      </c>
      <c r="E8" s="283" t="str">
        <f>IF(ΓΕΝΙΚΑ!$B$20="ΝΑΙ","Π. ΔΥΤΙΚΗΣ ΜΑΚΕΔΟΝΙΑΣ","")</f>
        <v>Π. ΔΥΤΙΚΗΣ ΜΑΚΕΔΟΝΙΑΣ</v>
      </c>
      <c r="F8" s="23" t="s">
        <v>406</v>
      </c>
      <c r="G8" s="23">
        <v>50</v>
      </c>
      <c r="H8" s="137">
        <v>0</v>
      </c>
      <c r="I8" s="256"/>
      <c r="J8" s="137">
        <v>8</v>
      </c>
      <c r="K8" s="256">
        <f t="shared" si="2"/>
        <v>8</v>
      </c>
      <c r="L8" s="59">
        <f t="shared" si="3"/>
        <v>8</v>
      </c>
      <c r="M8" s="252"/>
      <c r="N8" s="265" t="str">
        <f t="shared" si="4"/>
        <v/>
      </c>
      <c r="O8" s="272" t="str">
        <f t="shared" si="8"/>
        <v>Μέσω Τηλεφώνου (13877-215 50 13877/13878-215 50 13878)  ή 
μέσω E-mail: cytacc@hq.cyta.gr ή μέσω Fax (215 555 5900):  Δευτέρα - Παρασκευή: 08:00-22:00 &amp; Σάββατο : 09:00-17:00</v>
      </c>
      <c r="P8" s="273" t="str">
        <f t="shared" si="5"/>
        <v>Οι συναντήσεις καθορίζονται αμοιβαία με τον πελάτη</v>
      </c>
      <c r="Q8" s="274" t="str">
        <f t="shared" si="5"/>
        <v>Οι αναφερόμενες ημερολογιακές ημέρες δεν σχετίζονται με το μέσο χρόνο ενεργοποίησης των υπηρεσιών Cyta. Ενδεικτικά, σε δείγμα 100 αιτήσεων με 1η αίτηση την ταχύτερα ενεργοποιημένη και 100η την αίτηση με το μεγαλύτερο χρόνο καθυστέρησης, βάσει του κανονισμού της ΕΕΤΤ, παρατίθενται οι χρόνοι για την 50η και 95η αίτηση αντίστοιχα, ώστε να φαίνονται ξεκάθαρα οι μέγιστοι χρόνοι αναμονής για ενεργοποίηση της υπηρεσίας.</v>
      </c>
      <c r="S8" s="126" t="str">
        <f t="shared" si="6"/>
        <v/>
      </c>
      <c r="T8" s="195" t="str">
        <f>IF(ΠΕΡΙΦΕΡΕΙΑ!B6="Καθόλου",IF(OR(H8&lt;&gt;"",J8&lt;&gt;"",M8&lt;&gt;""),"Η περιφέρεια δεν καλύπτεται",""),CONCATENATE(IF(L8="",U8,""),IF(L8&gt;L22,V8,""),IF(H8&gt;H22,W8,""),IF(J8&gt;J22,X8,""),IF(M8&lt;&gt;"",IF(AND(ISNUMBER(M8),M8&gt;=0,M8&lt;=100),"","  |  Το Ποσοστό Παραγγελιών που έχουν Ολοκληρωθεί μέχρι Ημερομηνία που Συμφωνήθηκε με Πελάτη πρέπει να είναι αριθμός από 0 έως 100"),"")))</f>
        <v/>
      </c>
      <c r="U8" s="289" t="s">
        <v>570</v>
      </c>
      <c r="V8" s="289" t="s">
        <v>571</v>
      </c>
      <c r="Y8" s="289" t="s">
        <v>574</v>
      </c>
    </row>
    <row r="9" spans="1:33" ht="27.75" customHeight="1" x14ac:dyDescent="0.25">
      <c r="A9" s="41" t="str">
        <f t="shared" si="0"/>
        <v>B05</v>
      </c>
      <c r="B9" s="38" t="str">
        <f t="shared" si="7"/>
        <v>CYTA</v>
      </c>
      <c r="C9" s="38" t="str">
        <f t="shared" si="1"/>
        <v>Άμεση</v>
      </c>
      <c r="D9" s="238">
        <f>IF(S9="",IF(ΓΕΝΙΚΑ!$B$20="ΝΑΙ",14674,""),"")</f>
        <v>14674</v>
      </c>
      <c r="E9" s="284" t="str">
        <f>IF(ΓΕΝΙΚΑ!$B$20="ΝΑΙ","Π. ΗΠΕΙΡΟΥ","")</f>
        <v>Π. ΗΠΕΙΡΟΥ</v>
      </c>
      <c r="F9" s="7" t="s">
        <v>407</v>
      </c>
      <c r="G9" s="7">
        <v>50</v>
      </c>
      <c r="H9" s="137">
        <v>0</v>
      </c>
      <c r="I9" s="256"/>
      <c r="J9" s="137">
        <v>8</v>
      </c>
      <c r="K9" s="256">
        <f t="shared" si="2"/>
        <v>8</v>
      </c>
      <c r="L9" s="59">
        <f t="shared" si="3"/>
        <v>8</v>
      </c>
      <c r="M9" s="252"/>
      <c r="N9" s="265" t="str">
        <f t="shared" si="4"/>
        <v/>
      </c>
      <c r="O9" s="272" t="str">
        <f t="shared" si="8"/>
        <v>Μέσω Τηλεφώνου (13877-215 50 13877/13878-215 50 13878)  ή 
μέσω E-mail: cytacc@hq.cyta.gr ή μέσω Fax (215 555 5900):  Δευτέρα - Παρασκευή: 08:00-22:00 &amp; Σάββατο : 09:00-17:00</v>
      </c>
      <c r="P9" s="273" t="str">
        <f t="shared" si="5"/>
        <v>Οι συναντήσεις καθορίζονται αμοιβαία με τον πελάτη</v>
      </c>
      <c r="Q9" s="274" t="str">
        <f t="shared" si="5"/>
        <v>Οι αναφερόμενες ημερολογιακές ημέρες δεν σχετίζονται με το μέσο χρόνο ενεργοποίησης των υπηρεσιών Cyta. Ενδεικτικά, σε δείγμα 100 αιτήσεων με 1η αίτηση την ταχύτερα ενεργοποιημένη και 100η την αίτηση με το μεγαλύτερο χρόνο καθυστέρησης, βάσει του κανονισμού της ΕΕΤΤ, παρατίθενται οι χρόνοι για την 50η και 95η αίτηση αντίστοιχα, ώστε να φαίνονται ξεκάθαρα οι μέγιστοι χρόνοι αναμονής για ενεργοποίηση της υπηρεσίας.</v>
      </c>
      <c r="S9" s="126" t="str">
        <f t="shared" si="6"/>
        <v/>
      </c>
      <c r="T9" s="195" t="str">
        <f>IF(ΠΕΡΙΦΕΡΕΙΑ!B7="Καθόλου",IF(OR(H9&lt;&gt;"",J9&lt;&gt;"",M9&lt;&gt;""),"Η περιφέρεια δεν καλύπτεται",""),CONCATENATE(IF(L9="",U9,""),IF(L9&gt;L23,V9,""),IF(H9&gt;H23,W9,""),IF(J9&gt;J23,X9,""),IF(M9&lt;&gt;"",IF(AND(ISNUMBER(M9),M9&gt;=0,M9&lt;=100),"","  |  Το Ποσοστό Παραγγελιών που έχουν Ολοκληρωθεί μέχρι Ημερομηνία που Συμφωνήθηκε με Πελάτη πρέπει να είναι αριθμός από 0 έως 100"),"")))</f>
        <v/>
      </c>
      <c r="U9" s="289" t="s">
        <v>570</v>
      </c>
      <c r="V9" s="289" t="s">
        <v>571</v>
      </c>
      <c r="Y9" s="289" t="s">
        <v>574</v>
      </c>
    </row>
    <row r="10" spans="1:33" ht="30" customHeight="1" x14ac:dyDescent="0.25">
      <c r="A10" s="41" t="str">
        <f t="shared" si="0"/>
        <v>B05</v>
      </c>
      <c r="B10" s="38" t="str">
        <f t="shared" si="7"/>
        <v>CYTA</v>
      </c>
      <c r="C10" s="38" t="str">
        <f t="shared" si="1"/>
        <v>Άμεση</v>
      </c>
      <c r="D10" s="224">
        <f>IF(S10="",IF(ΓΕΝΙΚΑ!$B$20="ΝΑΙ",14676,""),"")</f>
        <v>14676</v>
      </c>
      <c r="E10" s="283" t="str">
        <f>IF(ΓΕΝΙΚΑ!$B$20="ΝΑΙ","Π. ΘΕΣΣΑΛΙΑΣ","")</f>
        <v>Π. ΘΕΣΣΑΛΙΑΣ</v>
      </c>
      <c r="F10" s="23" t="s">
        <v>408</v>
      </c>
      <c r="G10" s="23">
        <v>50</v>
      </c>
      <c r="H10" s="137">
        <v>1.33</v>
      </c>
      <c r="I10" s="256"/>
      <c r="J10" s="137">
        <v>6.67</v>
      </c>
      <c r="K10" s="256">
        <f t="shared" si="2"/>
        <v>6.67</v>
      </c>
      <c r="L10" s="59">
        <f t="shared" si="3"/>
        <v>8</v>
      </c>
      <c r="M10" s="252"/>
      <c r="N10" s="265" t="str">
        <f t="shared" si="4"/>
        <v/>
      </c>
      <c r="O10" s="272" t="str">
        <f t="shared" si="8"/>
        <v>Μέσω Τηλεφώνου (13877-215 50 13877/13878-215 50 13878)  ή 
μέσω E-mail: cytacc@hq.cyta.gr ή μέσω Fax (215 555 5900):  Δευτέρα - Παρασκευή: 08:00-22:00 &amp; Σάββατο : 09:00-17:00</v>
      </c>
      <c r="P10" s="273" t="str">
        <f t="shared" si="5"/>
        <v>Οι συναντήσεις καθορίζονται αμοιβαία με τον πελάτη</v>
      </c>
      <c r="Q10" s="274" t="str">
        <f t="shared" si="5"/>
        <v>Οι αναφερόμενες ημερολογιακές ημέρες δεν σχετίζονται με το μέσο χρόνο ενεργοποίησης των υπηρεσιών Cyta. Ενδεικτικά, σε δείγμα 100 αιτήσεων με 1η αίτηση την ταχύτερα ενεργοποιημένη και 100η την αίτηση με το μεγαλύτερο χρόνο καθυστέρησης, βάσει του κανονισμού της ΕΕΤΤ, παρατίθενται οι χρόνοι για την 50η και 95η αίτηση αντίστοιχα, ώστε να φαίνονται ξεκάθαρα οι μέγιστοι χρόνοι αναμονής για ενεργοποίηση της υπηρεσίας.</v>
      </c>
      <c r="S10" s="126" t="str">
        <f t="shared" si="6"/>
        <v/>
      </c>
      <c r="T10" s="195" t="str">
        <f>IF(ΠΕΡΙΦΕΡΕΙΑ!B8="Καθόλου",IF(OR(H10&lt;&gt;"",J10&lt;&gt;"",M10&lt;&gt;""),"Η περιφέρεια δεν καλύπτεται",""),CONCATENATE(IF(L10="",U10,""),IF(L10&gt;L24,V10,""),IF(H10&gt;H24,W10,""),IF(J10&gt;J24,X10,""),IF(M10&lt;&gt;"",IF(AND(ISNUMBER(M10),M10&gt;=0,M10&lt;=100),"","  |  Το Ποσοστό Παραγγελιών που έχουν Ολοκληρωθεί μέχρι Ημερομηνία που Συμφωνήθηκε με Πελάτη πρέπει να είναι αριθμός από 0 έως 100"),"")))</f>
        <v/>
      </c>
      <c r="U10" s="289" t="s">
        <v>570</v>
      </c>
      <c r="V10" s="289" t="s">
        <v>571</v>
      </c>
      <c r="Y10" s="289" t="s">
        <v>574</v>
      </c>
    </row>
    <row r="11" spans="1:33" ht="29.25" customHeight="1" x14ac:dyDescent="0.25">
      <c r="A11" s="41" t="str">
        <f t="shared" si="0"/>
        <v>B05</v>
      </c>
      <c r="B11" s="38" t="str">
        <f t="shared" si="7"/>
        <v>CYTA</v>
      </c>
      <c r="C11" s="38" t="str">
        <f t="shared" si="1"/>
        <v>Άμεση</v>
      </c>
      <c r="D11" s="238">
        <f>IF(S11="",IF(ΓΕΝΙΚΑ!$B$20="ΝΑΙ",14678,""),"")</f>
        <v>14678</v>
      </c>
      <c r="E11" s="284" t="str">
        <f>IF(ΓΕΝΙΚΑ!$B$20="ΝΑΙ","Π. ΙΟΝΙΩΝ ΝΗΣΩΝ","")</f>
        <v>Π. ΙΟΝΙΩΝ ΝΗΣΩΝ</v>
      </c>
      <c r="F11" s="7" t="s">
        <v>409</v>
      </c>
      <c r="G11" s="7">
        <v>50</v>
      </c>
      <c r="H11" s="137">
        <v>0</v>
      </c>
      <c r="I11" s="256"/>
      <c r="J11" s="137">
        <v>8</v>
      </c>
      <c r="K11" s="256">
        <f t="shared" si="2"/>
        <v>8</v>
      </c>
      <c r="L11" s="59">
        <f t="shared" si="3"/>
        <v>8</v>
      </c>
      <c r="M11" s="252"/>
      <c r="N11" s="265" t="str">
        <f t="shared" si="4"/>
        <v/>
      </c>
      <c r="O11" s="272" t="str">
        <f t="shared" si="8"/>
        <v>Μέσω Τηλεφώνου (13877-215 50 13877/13878-215 50 13878)  ή 
μέσω E-mail: cytacc@hq.cyta.gr ή μέσω Fax (215 555 5900):  Δευτέρα - Παρασκευή: 08:00-22:00 &amp; Σάββατο : 09:00-17:00</v>
      </c>
      <c r="P11" s="273" t="str">
        <f t="shared" si="5"/>
        <v>Οι συναντήσεις καθορίζονται αμοιβαία με τον πελάτη</v>
      </c>
      <c r="Q11" s="274" t="str">
        <f t="shared" si="5"/>
        <v>Οι αναφερόμενες ημερολογιακές ημέρες δεν σχετίζονται με το μέσο χρόνο ενεργοποίησης των υπηρεσιών Cyta. Ενδεικτικά, σε δείγμα 100 αιτήσεων με 1η αίτηση την ταχύτερα ενεργοποιημένη και 100η την αίτηση με το μεγαλύτερο χρόνο καθυστέρησης, βάσει του κανονισμού της ΕΕΤΤ, παρατίθενται οι χρόνοι για την 50η και 95η αίτηση αντίστοιχα, ώστε να φαίνονται ξεκάθαρα οι μέγιστοι χρόνοι αναμονής για ενεργοποίηση της υπηρεσίας.</v>
      </c>
      <c r="S11" s="126" t="str">
        <f t="shared" si="6"/>
        <v/>
      </c>
      <c r="T11" s="195" t="str">
        <f>IF(ΠΕΡΙΦΕΡΕΙΑ!B9="Καθόλου",IF(OR(H11&lt;&gt;"",J11&lt;&gt;"",M11&lt;&gt;""),"Η περιφέρεια δεν καλύπτεται",""),CONCATENATE(IF(L11="",U11,""),IF(L11&gt;L25,V11,""),IF(H11&gt;H25,W11,""),IF(J11&gt;J25,X11,""),IF(M11&lt;&gt;"",IF(AND(ISNUMBER(M11),M11&gt;=0,M11&lt;=100),"","  |  Το Ποσοστό Παραγγελιών που έχουν Ολοκληρωθεί μέχρι Ημερομηνία που Συμφωνήθηκε με Πελάτη πρέπει να είναι αριθμός από 0 έως 100"),"")))</f>
        <v/>
      </c>
      <c r="U11" s="289" t="s">
        <v>570</v>
      </c>
      <c r="V11" s="289" t="s">
        <v>571</v>
      </c>
      <c r="Y11" s="289" t="s">
        <v>574</v>
      </c>
    </row>
    <row r="12" spans="1:33" ht="27.75" customHeight="1" x14ac:dyDescent="0.25">
      <c r="A12" s="41" t="str">
        <f t="shared" si="0"/>
        <v>B05</v>
      </c>
      <c r="B12" s="38" t="str">
        <f t="shared" si="7"/>
        <v>CYTA</v>
      </c>
      <c r="C12" s="38" t="str">
        <f t="shared" si="1"/>
        <v>Άμεση</v>
      </c>
      <c r="D12" s="224">
        <f>IF(S12="",IF(ΓΕΝΙΚΑ!$B$20="ΝΑΙ",14680,""),"")</f>
        <v>14680</v>
      </c>
      <c r="E12" s="283" t="str">
        <f>IF(ΓΕΝΙΚΑ!$B$20="ΝΑΙ","Π. ΚΕΝΤΡΙΚΗΣ ΜΑΚΕΔΟΝΙΑΣ","")</f>
        <v>Π. ΚΕΝΤΡΙΚΗΣ ΜΑΚΕΔΟΝΙΑΣ</v>
      </c>
      <c r="F12" s="23" t="s">
        <v>410</v>
      </c>
      <c r="G12" s="23">
        <v>50</v>
      </c>
      <c r="H12" s="137">
        <v>0</v>
      </c>
      <c r="I12" s="256"/>
      <c r="J12" s="137">
        <v>8</v>
      </c>
      <c r="K12" s="256">
        <f t="shared" si="2"/>
        <v>8</v>
      </c>
      <c r="L12" s="59">
        <f t="shared" si="3"/>
        <v>8</v>
      </c>
      <c r="M12" s="252"/>
      <c r="N12" s="265" t="str">
        <f t="shared" si="4"/>
        <v/>
      </c>
      <c r="O12" s="272" t="str">
        <f t="shared" si="8"/>
        <v>Μέσω Τηλεφώνου (13877-215 50 13877/13878-215 50 13878)  ή 
μέσω E-mail: cytacc@hq.cyta.gr ή μέσω Fax (215 555 5900):  Δευτέρα - Παρασκευή: 08:00-22:00 &amp; Σάββατο : 09:00-17:00</v>
      </c>
      <c r="P12" s="273" t="str">
        <f t="shared" si="5"/>
        <v>Οι συναντήσεις καθορίζονται αμοιβαία με τον πελάτη</v>
      </c>
      <c r="Q12" s="274" t="str">
        <f t="shared" si="5"/>
        <v>Οι αναφερόμενες ημερολογιακές ημέρες δεν σχετίζονται με το μέσο χρόνο ενεργοποίησης των υπηρεσιών Cyta. Ενδεικτικά, σε δείγμα 100 αιτήσεων με 1η αίτηση την ταχύτερα ενεργοποιημένη και 100η την αίτηση με το μεγαλύτερο χρόνο καθυστέρησης, βάσει του κανονισμού της ΕΕΤΤ, παρατίθενται οι χρόνοι για την 50η και 95η αίτηση αντίστοιχα, ώστε να φαίνονται ξεκάθαρα οι μέγιστοι χρόνοι αναμονής για ενεργοποίηση της υπηρεσίας.</v>
      </c>
      <c r="S12" s="126" t="str">
        <f t="shared" si="6"/>
        <v/>
      </c>
      <c r="T12" s="195" t="str">
        <f>IF(ΠΕΡΙΦΕΡΕΙΑ!B10="Καθόλου",IF(OR(H12&lt;&gt;"",J12&lt;&gt;"",M12&lt;&gt;""),"Η περιφέρεια δεν καλύπτεται",""),CONCATENATE(IF(L12="",U12,""),IF(L12&gt;L26,V12,""),IF(H12&gt;H26,W12,""),IF(J12&gt;J26,X12,""),IF(M12&lt;&gt;"",IF(AND(ISNUMBER(M12),M12&gt;=0,M12&lt;=100),"","  |  Το Ποσοστό Παραγγελιών που έχουν Ολοκληρωθεί μέχρι Ημερομηνία που Συμφωνήθηκε με Πελάτη πρέπει να είναι αριθμός από 0 έως 100"),"")))</f>
        <v/>
      </c>
      <c r="U12" s="289" t="s">
        <v>570</v>
      </c>
      <c r="V12" s="289" t="s">
        <v>571</v>
      </c>
      <c r="Y12" s="289" t="s">
        <v>574</v>
      </c>
    </row>
    <row r="13" spans="1:33" ht="25.5" customHeight="1" x14ac:dyDescent="0.25">
      <c r="A13" s="41" t="str">
        <f t="shared" si="0"/>
        <v>B05</v>
      </c>
      <c r="B13" s="38" t="str">
        <f t="shared" si="7"/>
        <v>CYTA</v>
      </c>
      <c r="C13" s="38" t="str">
        <f t="shared" si="1"/>
        <v>Άμεση</v>
      </c>
      <c r="D13" s="238">
        <f>IF(S13="",IF(ΓΕΝΙΚΑ!$B$20="ΝΑΙ",14682,""),"")</f>
        <v>14682</v>
      </c>
      <c r="E13" s="284" t="str">
        <f>IF(ΓΕΝΙΚΑ!$B$20="ΝΑΙ","Π. ΚΡΗΤΗΣ","")</f>
        <v>Π. ΚΡΗΤΗΣ</v>
      </c>
      <c r="F13" s="7" t="s">
        <v>411</v>
      </c>
      <c r="G13" s="7">
        <v>50</v>
      </c>
      <c r="H13" s="137">
        <v>0</v>
      </c>
      <c r="I13" s="256"/>
      <c r="J13" s="137">
        <v>8</v>
      </c>
      <c r="K13" s="256">
        <f t="shared" si="2"/>
        <v>8</v>
      </c>
      <c r="L13" s="59">
        <f t="shared" si="3"/>
        <v>8</v>
      </c>
      <c r="M13" s="252"/>
      <c r="N13" s="265" t="str">
        <f t="shared" si="4"/>
        <v/>
      </c>
      <c r="O13" s="272" t="str">
        <f t="shared" si="8"/>
        <v>Μέσω Τηλεφώνου (13877-215 50 13877/13878-215 50 13878)  ή 
μέσω E-mail: cytacc@hq.cyta.gr ή μέσω Fax (215 555 5900):  Δευτέρα - Παρασκευή: 08:00-22:00 &amp; Σάββατο : 09:00-17:00</v>
      </c>
      <c r="P13" s="273" t="str">
        <f t="shared" si="5"/>
        <v>Οι συναντήσεις καθορίζονται αμοιβαία με τον πελάτη</v>
      </c>
      <c r="Q13" s="274" t="str">
        <f t="shared" si="5"/>
        <v>Οι αναφερόμενες ημερολογιακές ημέρες δεν σχετίζονται με το μέσο χρόνο ενεργοποίησης των υπηρεσιών Cyta. Ενδεικτικά, σε δείγμα 100 αιτήσεων με 1η αίτηση την ταχύτερα ενεργοποιημένη και 100η την αίτηση με το μεγαλύτερο χρόνο καθυστέρησης, βάσει του κανονισμού της ΕΕΤΤ, παρατίθενται οι χρόνοι για την 50η και 95η αίτηση αντίστοιχα, ώστε να φαίνονται ξεκάθαρα οι μέγιστοι χρόνοι αναμονής για ενεργοποίηση της υπηρεσίας.</v>
      </c>
      <c r="S13" s="126" t="str">
        <f t="shared" si="6"/>
        <v/>
      </c>
      <c r="T13" s="195" t="str">
        <f>IF(ΠΕΡΙΦΕΡΕΙΑ!B11="Καθόλου",IF(OR(H13&lt;&gt;"",J13&lt;&gt;"",M13&lt;&gt;""),"Η περιφέρεια δεν καλύπτεται",""),CONCATENATE(IF(L13="",U13,""),IF(L13&gt;L27,V13,""),IF(H13&gt;H27,W13,""),IF(J13&gt;J27,X13,""),IF(M13&lt;&gt;"",IF(AND(ISNUMBER(M13),M13&gt;=0,M13&lt;=100),"","  |  Το Ποσοστό Παραγγελιών που έχουν Ολοκληρωθεί μέχρι Ημερομηνία που Συμφωνήθηκε με Πελάτη πρέπει να είναι αριθμός από 0 έως 100"),"")))</f>
        <v/>
      </c>
      <c r="U13" s="289" t="s">
        <v>570</v>
      </c>
      <c r="V13" s="289" t="s">
        <v>571</v>
      </c>
      <c r="Y13" s="289" t="s">
        <v>574</v>
      </c>
    </row>
    <row r="14" spans="1:33" ht="32.25" customHeight="1" x14ac:dyDescent="0.25">
      <c r="A14" s="41" t="str">
        <f t="shared" si="0"/>
        <v>B05</v>
      </c>
      <c r="B14" s="38" t="str">
        <f t="shared" si="7"/>
        <v>CYTA</v>
      </c>
      <c r="C14" s="38" t="str">
        <f t="shared" si="1"/>
        <v>Άμεση</v>
      </c>
      <c r="D14" s="224">
        <f>IF(S14="",IF(ΓΕΝΙΚΑ!$B$20="ΝΑΙ",14684,""),"")</f>
        <v>14684</v>
      </c>
      <c r="E14" s="283" t="str">
        <f>IF(ΓΕΝΙΚΑ!$B$20="ΝΑΙ","Π. ΝΟΤΙΟΥ ΑΙΓΑΙΟΥ","")</f>
        <v>Π. ΝΟΤΙΟΥ ΑΙΓΑΙΟΥ</v>
      </c>
      <c r="F14" s="23" t="s">
        <v>412</v>
      </c>
      <c r="G14" s="23">
        <v>50</v>
      </c>
      <c r="H14" s="137"/>
      <c r="I14" s="256"/>
      <c r="J14" s="137"/>
      <c r="K14" s="256" t="str">
        <f t="shared" si="2"/>
        <v/>
      </c>
      <c r="L14" s="59" t="str">
        <f t="shared" si="3"/>
        <v/>
      </c>
      <c r="M14" s="252"/>
      <c r="N14" s="265" t="str">
        <f t="shared" si="4"/>
        <v/>
      </c>
      <c r="O14" s="272" t="str">
        <f t="shared" si="8"/>
        <v>Μέσω Τηλεφώνου (13877-215 50 13877/13878-215 50 13878)  ή 
μέσω E-mail: cytacc@hq.cyta.gr ή μέσω Fax (215 555 5900):  Δευτέρα - Παρασκευή: 08:00-22:00 &amp; Σάββατο : 09:00-17:00</v>
      </c>
      <c r="P14" s="273" t="str">
        <f t="shared" si="5"/>
        <v>Οι συναντήσεις καθορίζονται αμοιβαία με τον πελάτη</v>
      </c>
      <c r="Q14" s="274" t="str">
        <f t="shared" si="5"/>
        <v>Οι αναφερόμενες ημερολογιακές ημέρες δεν σχετίζονται με το μέσο χρόνο ενεργοποίησης των υπηρεσιών Cyta. Ενδεικτικά, σε δείγμα 100 αιτήσεων με 1η αίτηση την ταχύτερα ενεργοποιημένη και 100η την αίτηση με το μεγαλύτερο χρόνο καθυστέρησης, βάσει του κανονισμού της ΕΕΤΤ, παρατίθενται οι χρόνοι για την 50η και 95η αίτηση αντίστοιχα, ώστε να φαίνονται ξεκάθαρα οι μέγιστοι χρόνοι αναμονής για ενεργοποίηση της υπηρεσίας.</v>
      </c>
      <c r="S14" s="126" t="str">
        <f t="shared" si="6"/>
        <v/>
      </c>
      <c r="T14" s="195" t="str">
        <f>IF(ΠΕΡΙΦΕΡΕΙΑ!B12="Καθόλου",IF(OR(H14&lt;&gt;"",J14&lt;&gt;"",M14&lt;&gt;""),"Η περιφέρεια δεν καλύπτεται",""),CONCATENATE(IF(L14="",U14,""),IF(L14&gt;L28,V14,""),IF(H14&gt;H28,W14,""),IF(J14&gt;J28,X14,""),IF(M14&lt;&gt;"",IF(AND(ISNUMBER(M14),M14&gt;=0,M14&lt;=100),"","  |  Το Ποσοστό Παραγγελιών που έχουν Ολοκληρωθεί μέχρι Ημερομηνία που Συμφωνήθηκε με Πελάτη πρέπει να είναι αριθμός από 0 έως 100"),"")))</f>
        <v/>
      </c>
      <c r="U14" s="289" t="s">
        <v>570</v>
      </c>
      <c r="V14" s="289" t="s">
        <v>571</v>
      </c>
      <c r="Y14" s="289" t="s">
        <v>574</v>
      </c>
    </row>
    <row r="15" spans="1:33" ht="21" customHeight="1" x14ac:dyDescent="0.25">
      <c r="A15" s="41" t="str">
        <f t="shared" si="0"/>
        <v>B05</v>
      </c>
      <c r="B15" s="38" t="str">
        <f t="shared" si="7"/>
        <v>CYTA</v>
      </c>
      <c r="C15" s="38" t="str">
        <f t="shared" si="1"/>
        <v>Άμεση</v>
      </c>
      <c r="D15" s="238">
        <f>IF(S15="",IF(ΓΕΝΙΚΑ!$B$20="ΝΑΙ",14686,""),"")</f>
        <v>14686</v>
      </c>
      <c r="E15" s="284" t="str">
        <f>IF(ΓΕΝΙΚΑ!$B$20="ΝΑΙ","Π. ΠΕΛΟΠΟΝΝΗΣΟΥ","")</f>
        <v>Π. ΠΕΛΟΠΟΝΝΗΣΟΥ</v>
      </c>
      <c r="F15" s="7" t="s">
        <v>413</v>
      </c>
      <c r="G15" s="7">
        <v>50</v>
      </c>
      <c r="H15" s="137">
        <v>1.33</v>
      </c>
      <c r="I15" s="256"/>
      <c r="J15" s="137">
        <v>6.67</v>
      </c>
      <c r="K15" s="256">
        <f t="shared" si="2"/>
        <v>6.67</v>
      </c>
      <c r="L15" s="59">
        <f t="shared" si="3"/>
        <v>8</v>
      </c>
      <c r="M15" s="252"/>
      <c r="N15" s="265" t="str">
        <f t="shared" si="4"/>
        <v/>
      </c>
      <c r="O15" s="272" t="str">
        <f t="shared" si="8"/>
        <v>Μέσω Τηλεφώνου (13877-215 50 13877/13878-215 50 13878)  ή 
μέσω E-mail: cytacc@hq.cyta.gr ή μέσω Fax (215 555 5900):  Δευτέρα - Παρασκευή: 08:00-22:00 &amp; Σάββατο : 09:00-17:00</v>
      </c>
      <c r="P15" s="273" t="str">
        <f t="shared" si="5"/>
        <v>Οι συναντήσεις καθορίζονται αμοιβαία με τον πελάτη</v>
      </c>
      <c r="Q15" s="274" t="str">
        <f t="shared" si="5"/>
        <v>Οι αναφερόμενες ημερολογιακές ημέρες δεν σχετίζονται με το μέσο χρόνο ενεργοποίησης των υπηρεσιών Cyta. Ενδεικτικά, σε δείγμα 100 αιτήσεων με 1η αίτηση την ταχύτερα ενεργοποιημένη και 100η την αίτηση με το μεγαλύτερο χρόνο καθυστέρησης, βάσει του κανονισμού της ΕΕΤΤ, παρατίθενται οι χρόνοι για την 50η και 95η αίτηση αντίστοιχα, ώστε να φαίνονται ξεκάθαρα οι μέγιστοι χρόνοι αναμονής για ενεργοποίηση της υπηρεσίας.</v>
      </c>
      <c r="S15" s="126" t="str">
        <f t="shared" si="6"/>
        <v/>
      </c>
      <c r="T15" s="195" t="str">
        <f>IF(ΠΕΡΙΦΕΡΕΙΑ!B13="Καθόλου",IF(OR(H15&lt;&gt;"",J15&lt;&gt;"",M15&lt;&gt;""),"Η περιφέρεια δεν καλύπτεται",""),CONCATENATE(IF(L15="",U15,""),IF(L15&gt;L29,V15,""),IF(H15&gt;H29,W15,""),IF(J15&gt;J29,X15,""),IF(M15&lt;&gt;"",IF(AND(ISNUMBER(M15),M15&gt;=0,M15&lt;=100),"","  |  Το Ποσοστό Παραγγελιών που έχουν Ολοκληρωθεί μέχρι Ημερομηνία που Συμφωνήθηκε με Πελάτη πρέπει να είναι αριθμός από 0 έως 100"),"")))</f>
        <v/>
      </c>
      <c r="U15" s="289" t="s">
        <v>570</v>
      </c>
      <c r="V15" s="289" t="s">
        <v>571</v>
      </c>
      <c r="Y15" s="289" t="s">
        <v>574</v>
      </c>
    </row>
    <row r="16" spans="1:33" ht="29.25" customHeight="1" thickBot="1" x14ac:dyDescent="0.3">
      <c r="A16" s="41" t="str">
        <f t="shared" si="0"/>
        <v>B05</v>
      </c>
      <c r="B16" s="38" t="str">
        <f t="shared" si="7"/>
        <v>CYTA</v>
      </c>
      <c r="C16" s="38" t="str">
        <f t="shared" si="1"/>
        <v>Άμεση</v>
      </c>
      <c r="D16" s="225">
        <f>IF(S16="",IF(ΓΕΝΙΚΑ!$B$20="ΝΑΙ",14688,""),"")</f>
        <v>14688</v>
      </c>
      <c r="E16" s="285" t="str">
        <f>IF(ΓΕΝΙΚΑ!$B$20="ΝΑΙ","Π. ΣΤΕΡΕΑΣ ΕΛΛΑΔΑΣ","")</f>
        <v>Π. ΣΤΕΡΕΑΣ ΕΛΛΑΔΑΣ</v>
      </c>
      <c r="F16" s="34" t="s">
        <v>414</v>
      </c>
      <c r="G16" s="34">
        <v>50</v>
      </c>
      <c r="H16" s="138">
        <v>1.33</v>
      </c>
      <c r="I16" s="256"/>
      <c r="J16" s="138">
        <v>6.67</v>
      </c>
      <c r="K16" s="256">
        <f t="shared" si="2"/>
        <v>6.67</v>
      </c>
      <c r="L16" s="58">
        <f t="shared" si="3"/>
        <v>8</v>
      </c>
      <c r="M16" s="253"/>
      <c r="N16" s="265" t="str">
        <f t="shared" si="4"/>
        <v/>
      </c>
      <c r="O16" s="272" t="str">
        <f t="shared" si="8"/>
        <v>Μέσω Τηλεφώνου (13877-215 50 13877/13878-215 50 13878)  ή 
μέσω E-mail: cytacc@hq.cyta.gr ή μέσω Fax (215 555 5900):  Δευτέρα - Παρασκευή: 08:00-22:00 &amp; Σάββατο : 09:00-17:00</v>
      </c>
      <c r="P16" s="273" t="str">
        <f t="shared" si="5"/>
        <v>Οι συναντήσεις καθορίζονται αμοιβαία με τον πελάτη</v>
      </c>
      <c r="Q16" s="274" t="str">
        <f t="shared" si="5"/>
        <v>Οι αναφερόμενες ημερολογιακές ημέρες δεν σχετίζονται με το μέσο χρόνο ενεργοποίησης των υπηρεσιών Cyta. Ενδεικτικά, σε δείγμα 100 αιτήσεων με 1η αίτηση την ταχύτερα ενεργοποιημένη και 100η την αίτηση με το μεγαλύτερο χρόνο καθυστέρησης, βάσει του κανονισμού της ΕΕΤΤ, παρατίθενται οι χρόνοι για την 50η και 95η αίτηση αντίστοιχα, ώστε να φαίνονται ξεκάθαρα οι μέγιστοι χρόνοι αναμονής για ενεργοποίηση της υπηρεσίας.</v>
      </c>
      <c r="S16" s="126" t="str">
        <f t="shared" si="6"/>
        <v/>
      </c>
      <c r="T16" s="195" t="str">
        <f>IF(ΠΕΡΙΦΕΡΕΙΑ!B14="Καθόλου",IF(OR(H16&lt;&gt;"",J16&lt;&gt;"",M16&lt;&gt;""),"Η περιφέρεια δεν καλύπτεται",""),CONCATENATE(IF(L16="",U16,""),IF(L16&gt;L30,V16,""),IF(H16&gt;H30,W16,""),IF(J16&gt;J30,X16,""),IF(M16&lt;&gt;"",IF(AND(ISNUMBER(M16),M16&gt;=0,M16&lt;=100),"","  |  Το Ποσοστό Παραγγελιών που έχουν Ολοκληρωθεί μέχρι Ημερομηνία που Συμφωνήθηκε με Πελάτη πρέπει να είναι αριθμός από 0 έως 100"),"")))</f>
        <v/>
      </c>
      <c r="U16" s="289" t="s">
        <v>570</v>
      </c>
      <c r="V16" s="289" t="s">
        <v>571</v>
      </c>
      <c r="Y16" s="289" t="s">
        <v>574</v>
      </c>
    </row>
    <row r="17" spans="1:20" ht="28.5" customHeight="1" x14ac:dyDescent="0.25">
      <c r="A17" s="41" t="str">
        <f t="shared" si="0"/>
        <v>B05</v>
      </c>
      <c r="B17" s="38" t="str">
        <f t="shared" si="7"/>
        <v>CYTA</v>
      </c>
      <c r="C17" s="38" t="str">
        <f t="shared" si="1"/>
        <v>Άμεση</v>
      </c>
      <c r="D17" s="226">
        <f>IF(S17="",IF(ΓΕΝΙΚΑ!$B$20="ΝΑΙ",15300,""),"")</f>
        <v>15300</v>
      </c>
      <c r="E17" s="286" t="str">
        <f>IF(ΓΕΝΙΚΑ!$B$20="ΝΑΙ","ΠΑΝΕΛΛΑΔΙΚΑ","")</f>
        <v>ΠΑΝΕΛΛΑΔΙΚΑ</v>
      </c>
      <c r="F17" s="8" t="s">
        <v>552</v>
      </c>
      <c r="G17" s="5">
        <v>95</v>
      </c>
      <c r="H17" s="136">
        <v>3.11</v>
      </c>
      <c r="I17" s="256"/>
      <c r="J17" s="136">
        <v>24.89</v>
      </c>
      <c r="K17" s="256">
        <f t="shared" si="2"/>
        <v>24.89</v>
      </c>
      <c r="L17" s="305">
        <f t="shared" si="3"/>
        <v>28</v>
      </c>
      <c r="M17" s="33">
        <f>M3</f>
        <v>0</v>
      </c>
      <c r="N17" s="235" t="str">
        <f>N3</f>
        <v/>
      </c>
      <c r="O17" s="273" t="str">
        <f t="shared" si="8"/>
        <v>Μέσω Τηλεφώνου (13877-215 50 13877/13878-215 50 13878)  ή 
μέσω E-mail: cytacc@hq.cyta.gr ή μέσω Fax (215 555 5900):  Δευτέρα - Παρασκευή: 08:00-22:00 &amp; Σάββατο : 09:00-17:00</v>
      </c>
      <c r="P17" s="273" t="str">
        <f t="shared" si="5"/>
        <v>Οι συναντήσεις καθορίζονται αμοιβαία με τον πελάτη</v>
      </c>
      <c r="Q17" s="274" t="str">
        <f t="shared" si="5"/>
        <v>Οι αναφερόμενες ημερολογιακές ημέρες δεν σχετίζονται με το μέσο χρόνο ενεργοποίησης των υπηρεσιών Cyta. Ενδεικτικά, σε δείγμα 100 αιτήσεων με 1η αίτηση την ταχύτερα ενεργοποιημένη και 100η την αίτηση με το μεγαλύτερο χρόνο καθυστέρησης, βάσει του κανονισμού της ΕΕΤΤ, παρατίθενται οι χρόνοι για την 50η και 95η αίτηση αντίστοιχα, ώστε να φαίνονται ξεκάθαρα οι μέγιστοι χρόνοι αναμονής για ενεργοποίηση της υπηρεσίας.</v>
      </c>
      <c r="S17" s="126" t="str">
        <f t="shared" si="6"/>
        <v/>
      </c>
      <c r="T17" s="195" t="str">
        <f>IF(L17="",U3,"")</f>
        <v/>
      </c>
    </row>
    <row r="18" spans="1:20" ht="29.25" customHeight="1" x14ac:dyDescent="0.25">
      <c r="A18" s="41" t="str">
        <f t="shared" si="0"/>
        <v>B05</v>
      </c>
      <c r="B18" s="38" t="str">
        <f t="shared" si="7"/>
        <v>CYTA</v>
      </c>
      <c r="C18" s="38" t="str">
        <f t="shared" si="1"/>
        <v>Άμεση</v>
      </c>
      <c r="D18" s="224">
        <f>IF(S18="",IF(ΓΕΝΙΚΑ!$B$20="ΝΑΙ",14664,""),"")</f>
        <v>14664</v>
      </c>
      <c r="E18" s="283" t="str">
        <f>IF(ΓΕΝΙΚΑ!$B$20="ΝΑΙ","Π. ΑΝΑΤΟΛΙΚΗΣ ΜΑΚΕΔΟΝΙΑΣ - ΘΡΑΚΗΣ","")</f>
        <v>Π. ΑΝΑΤΟΛΙΚΗΣ ΜΑΚΕΔΟΝΙΑΣ - ΘΡΑΚΗΣ</v>
      </c>
      <c r="F18" s="23" t="s">
        <v>39</v>
      </c>
      <c r="G18" s="23">
        <v>95</v>
      </c>
      <c r="H18" s="137">
        <v>3.11</v>
      </c>
      <c r="I18" s="256"/>
      <c r="J18" s="137">
        <v>24.89</v>
      </c>
      <c r="K18" s="256">
        <f t="shared" si="2"/>
        <v>24.89</v>
      </c>
      <c r="L18" s="306">
        <f t="shared" si="3"/>
        <v>28</v>
      </c>
      <c r="M18" s="33">
        <f>M4</f>
        <v>0</v>
      </c>
      <c r="N18" s="235" t="str">
        <f t="shared" ref="N18:N30" si="9">N4</f>
        <v/>
      </c>
      <c r="O18" s="273" t="str">
        <f t="shared" si="8"/>
        <v>Μέσω Τηλεφώνου (13877-215 50 13877/13878-215 50 13878)  ή 
μέσω E-mail: cytacc@hq.cyta.gr ή μέσω Fax (215 555 5900):  Δευτέρα - Παρασκευή: 08:00-22:00 &amp; Σάββατο : 09:00-17:00</v>
      </c>
      <c r="P18" s="273" t="str">
        <f t="shared" si="5"/>
        <v>Οι συναντήσεις καθορίζονται αμοιβαία με τον πελάτη</v>
      </c>
      <c r="Q18" s="274" t="str">
        <f t="shared" si="5"/>
        <v>Οι αναφερόμενες ημερολογιακές ημέρες δεν σχετίζονται με το μέσο χρόνο ενεργοποίησης των υπηρεσιών Cyta. Ενδεικτικά, σε δείγμα 100 αιτήσεων με 1η αίτηση την ταχύτερα ενεργοποιημένη και 100η την αίτηση με το μεγαλύτερο χρόνο καθυστέρησης, βάσει του κανονισμού της ΕΕΤΤ, παρατίθενται οι χρόνοι για την 50η και 95η αίτηση αντίστοιχα, ώστε να φαίνονται ξεκάθαρα οι μέγιστοι χρόνοι αναμονής για ενεργοποίηση της υπηρεσίας.</v>
      </c>
      <c r="S18" s="126" t="str">
        <f t="shared" si="6"/>
        <v/>
      </c>
      <c r="T18" s="195" t="str">
        <f>IF(AND(L18="",ΠΕΡΙΦΕΡΕΙΑ!B2&lt;&gt;"Καθόλου"),U4,IF(AND(ΠΕΡΙΦΕΡΕΙΑ!B2="Καθόλου",OR(H18&lt;&gt;"",J18&lt;&gt;"")),"Η περιφέρεια δεν καλύπτεται",""))</f>
        <v/>
      </c>
    </row>
    <row r="19" spans="1:20" ht="24.75" customHeight="1" x14ac:dyDescent="0.25">
      <c r="A19" s="41" t="str">
        <f t="shared" si="0"/>
        <v>B05</v>
      </c>
      <c r="B19" s="38" t="str">
        <f t="shared" si="7"/>
        <v>CYTA</v>
      </c>
      <c r="C19" s="38" t="str">
        <f t="shared" si="1"/>
        <v>Άμεση</v>
      </c>
      <c r="D19" s="238">
        <f>IF(S19="",IF(ΓΕΝΙΚΑ!$B$20="ΝΑΙ",14666,""),"")</f>
        <v>14666</v>
      </c>
      <c r="E19" s="284" t="str">
        <f>IF(ΓΕΝΙΚΑ!$B$20="ΝΑΙ","Π. ΑΤΤΙΚΗΣ","")</f>
        <v>Π. ΑΤΤΙΚΗΣ</v>
      </c>
      <c r="F19" s="7" t="s">
        <v>40</v>
      </c>
      <c r="G19" s="7">
        <v>95</v>
      </c>
      <c r="H19" s="137">
        <v>2.8</v>
      </c>
      <c r="I19" s="256"/>
      <c r="J19" s="137">
        <v>25.2</v>
      </c>
      <c r="K19" s="256">
        <f t="shared" si="2"/>
        <v>25.2</v>
      </c>
      <c r="L19" s="306">
        <f t="shared" si="3"/>
        <v>28</v>
      </c>
      <c r="M19" s="33">
        <f t="shared" ref="M19:M30" si="10">M5</f>
        <v>0</v>
      </c>
      <c r="N19" s="235" t="str">
        <f t="shared" si="9"/>
        <v/>
      </c>
      <c r="O19" s="273" t="str">
        <f t="shared" si="8"/>
        <v>Μέσω Τηλεφώνου (13877-215 50 13877/13878-215 50 13878)  ή 
μέσω E-mail: cytacc@hq.cyta.gr ή μέσω Fax (215 555 5900):  Δευτέρα - Παρασκευή: 08:00-22:00 &amp; Σάββατο : 09:00-17:00</v>
      </c>
      <c r="P19" s="273" t="str">
        <f t="shared" si="5"/>
        <v>Οι συναντήσεις καθορίζονται αμοιβαία με τον πελάτη</v>
      </c>
      <c r="Q19" s="274" t="str">
        <f t="shared" si="5"/>
        <v>Οι αναφερόμενες ημερολογιακές ημέρες δεν σχετίζονται με το μέσο χρόνο ενεργοποίησης των υπηρεσιών Cyta. Ενδεικτικά, σε δείγμα 100 αιτήσεων με 1η αίτηση την ταχύτερα ενεργοποιημένη και 100η την αίτηση με το μεγαλύτερο χρόνο καθυστέρησης, βάσει του κανονισμού της ΕΕΤΤ, παρατίθενται οι χρόνοι για την 50η και 95η αίτηση αντίστοιχα, ώστε να φαίνονται ξεκάθαρα οι μέγιστοι χρόνοι αναμονής για ενεργοποίηση της υπηρεσίας.</v>
      </c>
      <c r="S19" s="126" t="str">
        <f t="shared" si="6"/>
        <v/>
      </c>
      <c r="T19" s="195" t="str">
        <f>IF(AND(L19="",ΠΕΡΙΦΕΡΕΙΑ!B3&lt;&gt;"Καθόλου"),U5,IF(AND(ΠΕΡΙΦΕΡΕΙΑ!B3="Καθόλου",OR(H19&lt;&gt;"",J19&lt;&gt;"")),"Η περιφέρεια δεν καλύπτεται",""))</f>
        <v/>
      </c>
    </row>
    <row r="20" spans="1:20" ht="25.5" customHeight="1" x14ac:dyDescent="0.25">
      <c r="A20" s="41" t="str">
        <f t="shared" si="0"/>
        <v>B05</v>
      </c>
      <c r="B20" s="38" t="str">
        <f t="shared" si="7"/>
        <v>CYTA</v>
      </c>
      <c r="C20" s="38" t="str">
        <f t="shared" si="1"/>
        <v>Άμεση</v>
      </c>
      <c r="D20" s="224">
        <f>IF(S20="",IF(ΓΕΝΙΚΑ!$B$20="ΝΑΙ",14668,""),"")</f>
        <v>14668</v>
      </c>
      <c r="E20" s="283" t="str">
        <f>IF(ΓΕΝΙΚΑ!$B$20="ΝΑΙ","Π. ΒΟΡΕΙΟΥ ΑΙΓΑΙΟΥ","")</f>
        <v>Π. ΒΟΡΕΙΟΥ ΑΙΓΑΙΟΥ</v>
      </c>
      <c r="F20" s="23" t="s">
        <v>404</v>
      </c>
      <c r="G20" s="23">
        <v>95</v>
      </c>
      <c r="H20" s="137"/>
      <c r="I20" s="256"/>
      <c r="J20" s="137"/>
      <c r="K20" s="256" t="str">
        <f t="shared" si="2"/>
        <v/>
      </c>
      <c r="L20" s="306" t="str">
        <f t="shared" si="3"/>
        <v/>
      </c>
      <c r="M20" s="33">
        <f t="shared" si="10"/>
        <v>0</v>
      </c>
      <c r="N20" s="235" t="str">
        <f t="shared" si="9"/>
        <v/>
      </c>
      <c r="O20" s="273" t="str">
        <f t="shared" si="8"/>
        <v>Μέσω Τηλεφώνου (13877-215 50 13877/13878-215 50 13878)  ή 
μέσω E-mail: cytacc@hq.cyta.gr ή μέσω Fax (215 555 5900):  Δευτέρα - Παρασκευή: 08:00-22:00 &amp; Σάββατο : 09:00-17:00</v>
      </c>
      <c r="P20" s="273" t="str">
        <f t="shared" si="5"/>
        <v>Οι συναντήσεις καθορίζονται αμοιβαία με τον πελάτη</v>
      </c>
      <c r="Q20" s="274" t="str">
        <f t="shared" si="5"/>
        <v>Οι αναφερόμενες ημερολογιακές ημέρες δεν σχετίζονται με το μέσο χρόνο ενεργοποίησης των υπηρεσιών Cyta. Ενδεικτικά, σε δείγμα 100 αιτήσεων με 1η αίτηση την ταχύτερα ενεργοποιημένη και 100η την αίτηση με το μεγαλύτερο χρόνο καθυστέρησης, βάσει του κανονισμού της ΕΕΤΤ, παρατίθενται οι χρόνοι για την 50η και 95η αίτηση αντίστοιχα, ώστε να φαίνονται ξεκάθαρα οι μέγιστοι χρόνοι αναμονής για ενεργοποίηση της υπηρεσίας.</v>
      </c>
      <c r="S20" s="126" t="str">
        <f t="shared" si="6"/>
        <v/>
      </c>
      <c r="T20" s="195" t="str">
        <f>IF(AND(L20="",ΠΕΡΙΦΕΡΕΙΑ!B4&lt;&gt;"Καθόλου"),U6,IF(AND(ΠΕΡΙΦΕΡΕΙΑ!B4="Καθόλου",OR(H20&lt;&gt;"",J20&lt;&gt;"")),"Η περιφέρεια δεν καλύπτεται",""))</f>
        <v/>
      </c>
    </row>
    <row r="21" spans="1:20" ht="26.25" customHeight="1" x14ac:dyDescent="0.25">
      <c r="A21" s="41" t="str">
        <f t="shared" si="0"/>
        <v>B05</v>
      </c>
      <c r="B21" s="38" t="str">
        <f t="shared" si="7"/>
        <v>CYTA</v>
      </c>
      <c r="C21" s="38" t="str">
        <f t="shared" si="1"/>
        <v>Άμεση</v>
      </c>
      <c r="D21" s="238">
        <f>IF(S21="",IF(ΓΕΝΙΚΑ!$B$20="ΝΑΙ",14670,""),"")</f>
        <v>14670</v>
      </c>
      <c r="E21" s="284" t="str">
        <f>IF(ΓΕΝΙΚΑ!$B$20="ΝΑΙ","Π. ΔΥΤΙΚΗΣ ΕΛΛΑΔΑΣ","")</f>
        <v>Π. ΔΥΤΙΚΗΣ ΕΛΛΑΔΑΣ</v>
      </c>
      <c r="F21" s="7" t="s">
        <v>405</v>
      </c>
      <c r="G21" s="7">
        <v>95</v>
      </c>
      <c r="H21" s="137">
        <v>3.11</v>
      </c>
      <c r="I21" s="256"/>
      <c r="J21" s="137">
        <v>24.89</v>
      </c>
      <c r="K21" s="256">
        <f t="shared" si="2"/>
        <v>24.89</v>
      </c>
      <c r="L21" s="306">
        <f t="shared" si="3"/>
        <v>28</v>
      </c>
      <c r="M21" s="33">
        <f t="shared" si="10"/>
        <v>0</v>
      </c>
      <c r="N21" s="235" t="str">
        <f t="shared" si="9"/>
        <v/>
      </c>
      <c r="O21" s="273" t="str">
        <f t="shared" si="8"/>
        <v>Μέσω Τηλεφώνου (13877-215 50 13877/13878-215 50 13878)  ή 
μέσω E-mail: cytacc@hq.cyta.gr ή μέσω Fax (215 555 5900):  Δευτέρα - Παρασκευή: 08:00-22:00 &amp; Σάββατο : 09:00-17:00</v>
      </c>
      <c r="P21" s="273" t="str">
        <f t="shared" si="5"/>
        <v>Οι συναντήσεις καθορίζονται αμοιβαία με τον πελάτη</v>
      </c>
      <c r="Q21" s="274" t="str">
        <f t="shared" si="5"/>
        <v>Οι αναφερόμενες ημερολογιακές ημέρες δεν σχετίζονται με το μέσο χρόνο ενεργοποίησης των υπηρεσιών Cyta. Ενδεικτικά, σε δείγμα 100 αιτήσεων με 1η αίτηση την ταχύτερα ενεργοποιημένη και 100η την αίτηση με το μεγαλύτερο χρόνο καθυστέρησης, βάσει του κανονισμού της ΕΕΤΤ, παρατίθενται οι χρόνοι για την 50η και 95η αίτηση αντίστοιχα, ώστε να φαίνονται ξεκάθαρα οι μέγιστοι χρόνοι αναμονής για ενεργοποίηση της υπηρεσίας.</v>
      </c>
      <c r="S21" s="126" t="str">
        <f t="shared" si="6"/>
        <v/>
      </c>
      <c r="T21" s="195" t="str">
        <f>IF(AND(L21="",ΠΕΡΙΦΕΡΕΙΑ!B5&lt;&gt;"Καθόλου"),U7,IF(AND(ΠΕΡΙΦΕΡΕΙΑ!B5="Καθόλου",OR(H21&lt;&gt;"",J21&lt;&gt;"")),"Η περιφέρεια δεν καλύπτεται",""))</f>
        <v/>
      </c>
    </row>
    <row r="22" spans="1:20" ht="27.75" customHeight="1" x14ac:dyDescent="0.25">
      <c r="A22" s="41" t="str">
        <f t="shared" si="0"/>
        <v>B05</v>
      </c>
      <c r="B22" s="38" t="str">
        <f t="shared" si="7"/>
        <v>CYTA</v>
      </c>
      <c r="C22" s="38" t="str">
        <f t="shared" si="1"/>
        <v>Άμεση</v>
      </c>
      <c r="D22" s="224">
        <f>IF(S22="",IF(ΓΕΝΙΚΑ!$B$20="ΝΑΙ",14672,""),"")</f>
        <v>14672</v>
      </c>
      <c r="E22" s="283" t="str">
        <f>IF(ΓΕΝΙΚΑ!$B$20="ΝΑΙ","Π. ΔΥΤΙΚΗΣ ΜΑΚΕΔΟΝΙΑΣ","")</f>
        <v>Π. ΔΥΤΙΚΗΣ ΜΑΚΕΔΟΝΙΑΣ</v>
      </c>
      <c r="F22" s="23" t="s">
        <v>406</v>
      </c>
      <c r="G22" s="23">
        <v>95</v>
      </c>
      <c r="H22" s="137">
        <v>3.5</v>
      </c>
      <c r="I22" s="256"/>
      <c r="J22" s="137">
        <v>24.5</v>
      </c>
      <c r="K22" s="256">
        <f t="shared" si="2"/>
        <v>24.5</v>
      </c>
      <c r="L22" s="306">
        <f t="shared" si="3"/>
        <v>28</v>
      </c>
      <c r="M22" s="33">
        <f t="shared" si="10"/>
        <v>0</v>
      </c>
      <c r="N22" s="235" t="str">
        <f t="shared" si="9"/>
        <v/>
      </c>
      <c r="O22" s="273" t="str">
        <f t="shared" si="8"/>
        <v>Μέσω Τηλεφώνου (13877-215 50 13877/13878-215 50 13878)  ή 
μέσω E-mail: cytacc@hq.cyta.gr ή μέσω Fax (215 555 5900):  Δευτέρα - Παρασκευή: 08:00-22:00 &amp; Σάββατο : 09:00-17:00</v>
      </c>
      <c r="P22" s="273" t="str">
        <f t="shared" si="5"/>
        <v>Οι συναντήσεις καθορίζονται αμοιβαία με τον πελάτη</v>
      </c>
      <c r="Q22" s="274" t="str">
        <f t="shared" si="5"/>
        <v>Οι αναφερόμενες ημερολογιακές ημέρες δεν σχετίζονται με το μέσο χρόνο ενεργοποίησης των υπηρεσιών Cyta. Ενδεικτικά, σε δείγμα 100 αιτήσεων με 1η αίτηση την ταχύτερα ενεργοποιημένη και 100η την αίτηση με το μεγαλύτερο χρόνο καθυστέρησης, βάσει του κανονισμού της ΕΕΤΤ, παρατίθενται οι χρόνοι για την 50η και 95η αίτηση αντίστοιχα, ώστε να φαίνονται ξεκάθαρα οι μέγιστοι χρόνοι αναμονής για ενεργοποίηση της υπηρεσίας.</v>
      </c>
      <c r="S22" s="126" t="str">
        <f t="shared" si="6"/>
        <v/>
      </c>
      <c r="T22" s="195" t="str">
        <f>IF(AND(L22="",ΠΕΡΙΦΕΡΕΙΑ!B6&lt;&gt;"Καθόλου"),U8,IF(AND(ΠΕΡΙΦΕΡΕΙΑ!B6="Καθόλου",OR(H22&lt;&gt;"",J22&lt;&gt;"")),"Η περιφέρεια δεν καλύπτεται",""))</f>
        <v/>
      </c>
    </row>
    <row r="23" spans="1:20" ht="21.75" customHeight="1" x14ac:dyDescent="0.25">
      <c r="A23" s="41" t="str">
        <f t="shared" si="0"/>
        <v>B05</v>
      </c>
      <c r="B23" s="38" t="str">
        <f t="shared" si="7"/>
        <v>CYTA</v>
      </c>
      <c r="C23" s="38" t="str">
        <f t="shared" si="1"/>
        <v>Άμεση</v>
      </c>
      <c r="D23" s="238">
        <f>IF(S23="",IF(ΓΕΝΙΚΑ!$B$20="ΝΑΙ",14674,""),"")</f>
        <v>14674</v>
      </c>
      <c r="E23" s="284" t="str">
        <f>IF(ΓΕΝΙΚΑ!$B$20="ΝΑΙ","Π. ΗΠΕΙΡΟΥ","")</f>
        <v>Π. ΗΠΕΙΡΟΥ</v>
      </c>
      <c r="F23" s="7" t="s">
        <v>407</v>
      </c>
      <c r="G23" s="7">
        <v>95</v>
      </c>
      <c r="H23" s="137">
        <v>3.38</v>
      </c>
      <c r="I23" s="256"/>
      <c r="J23" s="137">
        <v>23.63</v>
      </c>
      <c r="K23" s="256">
        <f t="shared" si="2"/>
        <v>23.63</v>
      </c>
      <c r="L23" s="306">
        <f t="shared" si="3"/>
        <v>27</v>
      </c>
      <c r="M23" s="33">
        <f t="shared" si="10"/>
        <v>0</v>
      </c>
      <c r="N23" s="235" t="str">
        <f t="shared" si="9"/>
        <v/>
      </c>
      <c r="O23" s="273" t="str">
        <f t="shared" si="8"/>
        <v>Μέσω Τηλεφώνου (13877-215 50 13877/13878-215 50 13878)  ή 
μέσω E-mail: cytacc@hq.cyta.gr ή μέσω Fax (215 555 5900):  Δευτέρα - Παρασκευή: 08:00-22:00 &amp; Σάββατο : 09:00-17:00</v>
      </c>
      <c r="P23" s="273" t="str">
        <f t="shared" si="5"/>
        <v>Οι συναντήσεις καθορίζονται αμοιβαία με τον πελάτη</v>
      </c>
      <c r="Q23" s="274" t="str">
        <f t="shared" si="5"/>
        <v>Οι αναφερόμενες ημερολογιακές ημέρες δεν σχετίζονται με το μέσο χρόνο ενεργοποίησης των υπηρεσιών Cyta. Ενδεικτικά, σε δείγμα 100 αιτήσεων με 1η αίτηση την ταχύτερα ενεργοποιημένη και 100η την αίτηση με το μεγαλύτερο χρόνο καθυστέρησης, βάσει του κανονισμού της ΕΕΤΤ, παρατίθενται οι χρόνοι για την 50η και 95η αίτηση αντίστοιχα, ώστε να φαίνονται ξεκάθαρα οι μέγιστοι χρόνοι αναμονής για ενεργοποίηση της υπηρεσίας.</v>
      </c>
      <c r="S23" s="126" t="str">
        <f t="shared" si="6"/>
        <v/>
      </c>
      <c r="T23" s="195" t="str">
        <f>IF(AND(L23="",ΠΕΡΙΦΕΡΕΙΑ!B7&lt;&gt;"Καθόλου"),U9,IF(AND(ΠΕΡΙΦΕΡΕΙΑ!B7="Καθόλου",OR(H23&lt;&gt;"",J23&lt;&gt;"")),"Η περιφέρεια δεν καλύπτεται",""))</f>
        <v/>
      </c>
    </row>
    <row r="24" spans="1:20" ht="21" customHeight="1" x14ac:dyDescent="0.25">
      <c r="A24" s="41" t="str">
        <f t="shared" si="0"/>
        <v>B05</v>
      </c>
      <c r="B24" s="38" t="str">
        <f t="shared" si="7"/>
        <v>CYTA</v>
      </c>
      <c r="C24" s="38" t="str">
        <f t="shared" si="1"/>
        <v>Άμεση</v>
      </c>
      <c r="D24" s="224">
        <f>IF(S24="",IF(ΓΕΝΙΚΑ!$B$20="ΝΑΙ",14676,""),"")</f>
        <v>14676</v>
      </c>
      <c r="E24" s="283" t="str">
        <f>IF(ΓΕΝΙΚΑ!$B$20="ΝΑΙ","Π. ΘΕΣΣΑΛΙΑΣ","")</f>
        <v>Π. ΘΕΣΣΑΛΙΑΣ</v>
      </c>
      <c r="F24" s="23" t="s">
        <v>408</v>
      </c>
      <c r="G24" s="23">
        <v>95</v>
      </c>
      <c r="H24" s="137">
        <v>3.5</v>
      </c>
      <c r="I24" s="256"/>
      <c r="J24" s="137">
        <v>24.5</v>
      </c>
      <c r="K24" s="256">
        <f t="shared" si="2"/>
        <v>24.5</v>
      </c>
      <c r="L24" s="306">
        <f t="shared" si="3"/>
        <v>28</v>
      </c>
      <c r="M24" s="33">
        <f t="shared" si="10"/>
        <v>0</v>
      </c>
      <c r="N24" s="235" t="str">
        <f t="shared" si="9"/>
        <v/>
      </c>
      <c r="O24" s="273" t="str">
        <f t="shared" si="8"/>
        <v>Μέσω Τηλεφώνου (13877-215 50 13877/13878-215 50 13878)  ή 
μέσω E-mail: cytacc@hq.cyta.gr ή μέσω Fax (215 555 5900):  Δευτέρα - Παρασκευή: 08:00-22:00 &amp; Σάββατο : 09:00-17:00</v>
      </c>
      <c r="P24" s="273" t="str">
        <f t="shared" si="5"/>
        <v>Οι συναντήσεις καθορίζονται αμοιβαία με τον πελάτη</v>
      </c>
      <c r="Q24" s="274" t="str">
        <f t="shared" si="5"/>
        <v>Οι αναφερόμενες ημερολογιακές ημέρες δεν σχετίζονται με το μέσο χρόνο ενεργοποίησης των υπηρεσιών Cyta. Ενδεικτικά, σε δείγμα 100 αιτήσεων με 1η αίτηση την ταχύτερα ενεργοποιημένη και 100η την αίτηση με το μεγαλύτερο χρόνο καθυστέρησης, βάσει του κανονισμού της ΕΕΤΤ, παρατίθενται οι χρόνοι για την 50η και 95η αίτηση αντίστοιχα, ώστε να φαίνονται ξεκάθαρα οι μέγιστοι χρόνοι αναμονής για ενεργοποίηση της υπηρεσίας.</v>
      </c>
      <c r="S24" s="126" t="str">
        <f t="shared" si="6"/>
        <v/>
      </c>
      <c r="T24" s="195" t="str">
        <f>IF(AND(L24="",ΠΕΡΙΦΕΡΕΙΑ!B8&lt;&gt;"Καθόλου"),U10,IF(AND(ΠΕΡΙΦΕΡΕΙΑ!B8="Καθόλου",OR(H24&lt;&gt;"",J24&lt;&gt;"")),"Η περιφέρεια δεν καλύπτεται",""))</f>
        <v/>
      </c>
    </row>
    <row r="25" spans="1:20" ht="21" customHeight="1" x14ac:dyDescent="0.25">
      <c r="A25" s="41" t="str">
        <f t="shared" si="0"/>
        <v>B05</v>
      </c>
      <c r="B25" s="38" t="str">
        <f t="shared" si="7"/>
        <v>CYTA</v>
      </c>
      <c r="C25" s="38" t="str">
        <f t="shared" si="1"/>
        <v>Άμεση</v>
      </c>
      <c r="D25" s="238">
        <f>IF(S25="",IF(ΓΕΝΙΚΑ!$B$20="ΝΑΙ",14678,""),"")</f>
        <v>14678</v>
      </c>
      <c r="E25" s="284" t="str">
        <f>IF(ΓΕΝΙΚΑ!$B$20="ΝΑΙ","Π. ΙΟΝΙΩΝ ΝΗΣΩΝ","")</f>
        <v>Π. ΙΟΝΙΩΝ ΝΗΣΩΝ</v>
      </c>
      <c r="F25" s="7" t="s">
        <v>409</v>
      </c>
      <c r="G25" s="7">
        <v>95</v>
      </c>
      <c r="H25" s="137">
        <v>2.56</v>
      </c>
      <c r="I25" s="256"/>
      <c r="J25" s="137">
        <v>20.440000000000001</v>
      </c>
      <c r="K25" s="256">
        <f t="shared" si="2"/>
        <v>20.440000000000001</v>
      </c>
      <c r="L25" s="306">
        <f t="shared" si="3"/>
        <v>23</v>
      </c>
      <c r="M25" s="33">
        <f t="shared" si="10"/>
        <v>0</v>
      </c>
      <c r="N25" s="235" t="str">
        <f t="shared" si="9"/>
        <v/>
      </c>
      <c r="O25" s="273" t="str">
        <f t="shared" si="8"/>
        <v>Μέσω Τηλεφώνου (13877-215 50 13877/13878-215 50 13878)  ή 
μέσω E-mail: cytacc@hq.cyta.gr ή μέσω Fax (215 555 5900):  Δευτέρα - Παρασκευή: 08:00-22:00 &amp; Σάββατο : 09:00-17:00</v>
      </c>
      <c r="P25" s="273" t="str">
        <f t="shared" si="5"/>
        <v>Οι συναντήσεις καθορίζονται αμοιβαία με τον πελάτη</v>
      </c>
      <c r="Q25" s="274" t="str">
        <f t="shared" si="5"/>
        <v>Οι αναφερόμενες ημερολογιακές ημέρες δεν σχετίζονται με το μέσο χρόνο ενεργοποίησης των υπηρεσιών Cyta. Ενδεικτικά, σε δείγμα 100 αιτήσεων με 1η αίτηση την ταχύτερα ενεργοποιημένη και 100η την αίτηση με το μεγαλύτερο χρόνο καθυστέρησης, βάσει του κανονισμού της ΕΕΤΤ, παρατίθενται οι χρόνοι για την 50η και 95η αίτηση αντίστοιχα, ώστε να φαίνονται ξεκάθαρα οι μέγιστοι χρόνοι αναμονής για ενεργοποίηση της υπηρεσίας.</v>
      </c>
      <c r="S25" s="126" t="str">
        <f t="shared" si="6"/>
        <v/>
      </c>
      <c r="T25" s="195" t="str">
        <f>IF(AND(L25="",ΠΕΡΙΦΕΡΕΙΑ!B9&lt;&gt;"Καθόλου"),U11,IF(AND(ΠΕΡΙΦΕΡΕΙΑ!B9="Καθόλου",OR(H25&lt;&gt;"",J25&lt;&gt;"")),"Η περιφέρεια δεν καλύπτεται",""))</f>
        <v/>
      </c>
    </row>
    <row r="26" spans="1:20" ht="23.25" customHeight="1" x14ac:dyDescent="0.25">
      <c r="A26" s="41" t="str">
        <f t="shared" si="0"/>
        <v>B05</v>
      </c>
      <c r="B26" s="38" t="str">
        <f t="shared" si="7"/>
        <v>CYTA</v>
      </c>
      <c r="C26" s="38" t="str">
        <f t="shared" si="1"/>
        <v>Άμεση</v>
      </c>
      <c r="D26" s="224">
        <f>IF(S26="",IF(ΓΕΝΙΚΑ!$B$20="ΝΑΙ",14680,""),"")</f>
        <v>14680</v>
      </c>
      <c r="E26" s="283" t="str">
        <f>IF(ΓΕΝΙΚΑ!$B$20="ΝΑΙ","Π. ΚΕΝΤΡΙΚΗΣ ΜΑΚΕΔΟΝΙΑΣ","")</f>
        <v>Π. ΚΕΝΤΡΙΚΗΣ ΜΑΚΕΔΟΝΙΑΣ</v>
      </c>
      <c r="F26" s="23" t="s">
        <v>410</v>
      </c>
      <c r="G26" s="23">
        <v>95</v>
      </c>
      <c r="H26" s="137">
        <v>3.5</v>
      </c>
      <c r="I26" s="256"/>
      <c r="J26" s="137">
        <v>24.5</v>
      </c>
      <c r="K26" s="256">
        <f t="shared" si="2"/>
        <v>24.5</v>
      </c>
      <c r="L26" s="306">
        <f t="shared" si="3"/>
        <v>28</v>
      </c>
      <c r="M26" s="33">
        <f t="shared" si="10"/>
        <v>0</v>
      </c>
      <c r="N26" s="235" t="str">
        <f t="shared" si="9"/>
        <v/>
      </c>
      <c r="O26" s="273" t="str">
        <f t="shared" si="8"/>
        <v>Μέσω Τηλεφώνου (13877-215 50 13877/13878-215 50 13878)  ή 
μέσω E-mail: cytacc@hq.cyta.gr ή μέσω Fax (215 555 5900):  Δευτέρα - Παρασκευή: 08:00-22:00 &amp; Σάββατο : 09:00-17:00</v>
      </c>
      <c r="P26" s="273" t="str">
        <f t="shared" si="5"/>
        <v>Οι συναντήσεις καθορίζονται αμοιβαία με τον πελάτη</v>
      </c>
      <c r="Q26" s="274" t="str">
        <f t="shared" si="5"/>
        <v>Οι αναφερόμενες ημερολογιακές ημέρες δεν σχετίζονται με το μέσο χρόνο ενεργοποίησης των υπηρεσιών Cyta. Ενδεικτικά, σε δείγμα 100 αιτήσεων με 1η αίτηση την ταχύτερα ενεργοποιημένη και 100η την αίτηση με το μεγαλύτερο χρόνο καθυστέρησης, βάσει του κανονισμού της ΕΕΤΤ, παρατίθενται οι χρόνοι για την 50η και 95η αίτηση αντίστοιχα, ώστε να φαίνονται ξεκάθαρα οι μέγιστοι χρόνοι αναμονής για ενεργοποίηση της υπηρεσίας.</v>
      </c>
      <c r="S26" s="126" t="str">
        <f t="shared" si="6"/>
        <v/>
      </c>
      <c r="T26" s="195" t="str">
        <f>IF(AND(L26="",ΠΕΡΙΦΕΡΕΙΑ!B10&lt;&gt;"Καθόλου"),U12,IF(AND(ΠΕΡΙΦΕΡΕΙΑ!B10="Καθόλου",OR(H26&lt;&gt;"",J26&lt;&gt;"")),"Η περιφέρεια δεν καλύπτεται",""))</f>
        <v/>
      </c>
    </row>
    <row r="27" spans="1:20" ht="28.5" customHeight="1" x14ac:dyDescent="0.25">
      <c r="A27" s="41" t="str">
        <f t="shared" si="0"/>
        <v>B05</v>
      </c>
      <c r="B27" s="38" t="str">
        <f t="shared" si="7"/>
        <v>CYTA</v>
      </c>
      <c r="C27" s="38" t="str">
        <f t="shared" si="1"/>
        <v>Άμεση</v>
      </c>
      <c r="D27" s="238">
        <f>IF(S27="",IF(ΓΕΝΙΚΑ!$B$20="ΝΑΙ",14682,""),"")</f>
        <v>14682</v>
      </c>
      <c r="E27" s="284" t="str">
        <f>IF(ΓΕΝΙΚΑ!$B$20="ΝΑΙ","Π. ΚΡΗΤΗΣ","")</f>
        <v>Π. ΚΡΗΤΗΣ</v>
      </c>
      <c r="F27" s="7" t="s">
        <v>411</v>
      </c>
      <c r="G27" s="7">
        <v>95</v>
      </c>
      <c r="H27" s="137">
        <v>3.11</v>
      </c>
      <c r="I27" s="256"/>
      <c r="J27" s="137">
        <v>24.89</v>
      </c>
      <c r="K27" s="256">
        <f t="shared" si="2"/>
        <v>24.89</v>
      </c>
      <c r="L27" s="306">
        <f t="shared" si="3"/>
        <v>28</v>
      </c>
      <c r="M27" s="33">
        <f t="shared" si="10"/>
        <v>0</v>
      </c>
      <c r="N27" s="235" t="str">
        <f t="shared" si="9"/>
        <v/>
      </c>
      <c r="O27" s="273" t="str">
        <f t="shared" si="8"/>
        <v>Μέσω Τηλεφώνου (13877-215 50 13877/13878-215 50 13878)  ή 
μέσω E-mail: cytacc@hq.cyta.gr ή μέσω Fax (215 555 5900):  Δευτέρα - Παρασκευή: 08:00-22:00 &amp; Σάββατο : 09:00-17:00</v>
      </c>
      <c r="P27" s="273" t="str">
        <f t="shared" si="5"/>
        <v>Οι συναντήσεις καθορίζονται αμοιβαία με τον πελάτη</v>
      </c>
      <c r="Q27" s="274" t="str">
        <f t="shared" si="5"/>
        <v>Οι αναφερόμενες ημερολογιακές ημέρες δεν σχετίζονται με το μέσο χρόνο ενεργοποίησης των υπηρεσιών Cyta. Ενδεικτικά, σε δείγμα 100 αιτήσεων με 1η αίτηση την ταχύτερα ενεργοποιημένη και 100η την αίτηση με το μεγαλύτερο χρόνο καθυστέρησης, βάσει του κανονισμού της ΕΕΤΤ, παρατίθενται οι χρόνοι για την 50η και 95η αίτηση αντίστοιχα, ώστε να φαίνονται ξεκάθαρα οι μέγιστοι χρόνοι αναμονής για ενεργοποίηση της υπηρεσίας.</v>
      </c>
      <c r="S27" s="126" t="str">
        <f t="shared" si="6"/>
        <v/>
      </c>
      <c r="T27" s="195" t="str">
        <f>IF(AND(L27="",ΠΕΡΙΦΕΡΕΙΑ!B11&lt;&gt;"Καθόλου"),U13,IF(AND(ΠΕΡΙΦΕΡΕΙΑ!B11="Καθόλου",OR(H27&lt;&gt;"",J27&lt;&gt;"")),"Η περιφέρεια δεν καλύπτεται",""))</f>
        <v/>
      </c>
    </row>
    <row r="28" spans="1:20" ht="26.25" customHeight="1" x14ac:dyDescent="0.25">
      <c r="A28" s="41" t="str">
        <f t="shared" si="0"/>
        <v>B05</v>
      </c>
      <c r="B28" s="38" t="str">
        <f t="shared" si="7"/>
        <v>CYTA</v>
      </c>
      <c r="C28" s="38" t="str">
        <f t="shared" si="1"/>
        <v>Άμεση</v>
      </c>
      <c r="D28" s="224">
        <f>IF(S28="",IF(ΓΕΝΙΚΑ!$B$20="ΝΑΙ",14684,""),"")</f>
        <v>14684</v>
      </c>
      <c r="E28" s="283" t="str">
        <f>IF(ΓΕΝΙΚΑ!$B$20="ΝΑΙ","Π. ΝΟΤΙΟΥ ΑΙΓΑΙΟΥ","")</f>
        <v>Π. ΝΟΤΙΟΥ ΑΙΓΑΙΟΥ</v>
      </c>
      <c r="F28" s="23" t="s">
        <v>412</v>
      </c>
      <c r="G28" s="23">
        <v>95</v>
      </c>
      <c r="H28" s="137"/>
      <c r="I28" s="256"/>
      <c r="J28" s="137"/>
      <c r="K28" s="256" t="str">
        <f t="shared" si="2"/>
        <v/>
      </c>
      <c r="L28" s="306" t="str">
        <f t="shared" si="3"/>
        <v/>
      </c>
      <c r="M28" s="33">
        <f t="shared" si="10"/>
        <v>0</v>
      </c>
      <c r="N28" s="235" t="str">
        <f t="shared" si="9"/>
        <v/>
      </c>
      <c r="O28" s="273" t="str">
        <f t="shared" si="8"/>
        <v>Μέσω Τηλεφώνου (13877-215 50 13877/13878-215 50 13878)  ή 
μέσω E-mail: cytacc@hq.cyta.gr ή μέσω Fax (215 555 5900):  Δευτέρα - Παρασκευή: 08:00-22:00 &amp; Σάββατο : 09:00-17:00</v>
      </c>
      <c r="P28" s="273" t="str">
        <f t="shared" si="5"/>
        <v>Οι συναντήσεις καθορίζονται αμοιβαία με τον πελάτη</v>
      </c>
      <c r="Q28" s="274" t="str">
        <f t="shared" si="5"/>
        <v>Οι αναφερόμενες ημερολογιακές ημέρες δεν σχετίζονται με το μέσο χρόνο ενεργοποίησης των υπηρεσιών Cyta. Ενδεικτικά, σε δείγμα 100 αιτήσεων με 1η αίτηση την ταχύτερα ενεργοποιημένη και 100η την αίτηση με το μεγαλύτερο χρόνο καθυστέρησης, βάσει του κανονισμού της ΕΕΤΤ, παρατίθενται οι χρόνοι για την 50η και 95η αίτηση αντίστοιχα, ώστε να φαίνονται ξεκάθαρα οι μέγιστοι χρόνοι αναμονής για ενεργοποίηση της υπηρεσίας.</v>
      </c>
      <c r="S28" s="126" t="str">
        <f t="shared" si="6"/>
        <v/>
      </c>
      <c r="T28" s="195" t="str">
        <f>IF(AND(L28="",ΠΕΡΙΦΕΡΕΙΑ!B12&lt;&gt;"Καθόλου"),U14,IF(AND(ΠΕΡΙΦΕΡΕΙΑ!B12="Καθόλου",OR(H28&lt;&gt;"",J28&lt;&gt;"")),"Η περιφέρεια δεν καλύπτεται",""))</f>
        <v/>
      </c>
    </row>
    <row r="29" spans="1:20" ht="24.75" customHeight="1" x14ac:dyDescent="0.25">
      <c r="A29" s="41" t="str">
        <f t="shared" si="0"/>
        <v>B05</v>
      </c>
      <c r="B29" s="38" t="str">
        <f t="shared" si="7"/>
        <v>CYTA</v>
      </c>
      <c r="C29" s="38" t="str">
        <f t="shared" si="1"/>
        <v>Άμεση</v>
      </c>
      <c r="D29" s="238">
        <f>IF(S29="",IF(ΓΕΝΙΚΑ!$B$20="ΝΑΙ",14686,""),"")</f>
        <v>14686</v>
      </c>
      <c r="E29" s="284" t="str">
        <f>IF(ΓΕΝΙΚΑ!$B$20="ΝΑΙ","Π. ΠΕΛΟΠΟΝΝΗΣΟΥ","")</f>
        <v>Π. ΠΕΛΟΠΟΝΝΗΣΟΥ</v>
      </c>
      <c r="F29" s="7" t="s">
        <v>413</v>
      </c>
      <c r="G29" s="7">
        <v>95</v>
      </c>
      <c r="H29" s="137">
        <v>2.8</v>
      </c>
      <c r="I29" s="256"/>
      <c r="J29" s="137">
        <v>25.2</v>
      </c>
      <c r="K29" s="256">
        <f t="shared" si="2"/>
        <v>25.2</v>
      </c>
      <c r="L29" s="306">
        <f t="shared" si="3"/>
        <v>28</v>
      </c>
      <c r="M29" s="33">
        <f t="shared" si="10"/>
        <v>0</v>
      </c>
      <c r="N29" s="235" t="str">
        <f t="shared" si="9"/>
        <v/>
      </c>
      <c r="O29" s="273" t="str">
        <f t="shared" si="8"/>
        <v>Μέσω Τηλεφώνου (13877-215 50 13877/13878-215 50 13878)  ή 
μέσω E-mail: cytacc@hq.cyta.gr ή μέσω Fax (215 555 5900):  Δευτέρα - Παρασκευή: 08:00-22:00 &amp; Σάββατο : 09:00-17:00</v>
      </c>
      <c r="P29" s="273" t="str">
        <f t="shared" si="5"/>
        <v>Οι συναντήσεις καθορίζονται αμοιβαία με τον πελάτη</v>
      </c>
      <c r="Q29" s="274" t="str">
        <f t="shared" si="5"/>
        <v>Οι αναφερόμενες ημερολογιακές ημέρες δεν σχετίζονται με το μέσο χρόνο ενεργοποίησης των υπηρεσιών Cyta. Ενδεικτικά, σε δείγμα 100 αιτήσεων με 1η αίτηση την ταχύτερα ενεργοποιημένη και 100η την αίτηση με το μεγαλύτερο χρόνο καθυστέρησης, βάσει του κανονισμού της ΕΕΤΤ, παρατίθενται οι χρόνοι για την 50η και 95η αίτηση αντίστοιχα, ώστε να φαίνονται ξεκάθαρα οι μέγιστοι χρόνοι αναμονής για ενεργοποίηση της υπηρεσίας.</v>
      </c>
      <c r="S29" s="126" t="str">
        <f t="shared" si="6"/>
        <v/>
      </c>
      <c r="T29" s="195" t="str">
        <f>IF(AND(L29="",ΠΕΡΙΦΕΡΕΙΑ!B13&lt;&gt;"Καθόλου"),U15,IF(AND(ΠΕΡΙΦΕΡΕΙΑ!B13="Καθόλου",OR(H29&lt;&gt;"",J29&lt;&gt;"")),"Η περιφέρεια δεν καλύπτεται",""))</f>
        <v/>
      </c>
    </row>
    <row r="30" spans="1:20" ht="24.75" customHeight="1" thickBot="1" x14ac:dyDescent="0.3">
      <c r="A30" s="42" t="str">
        <f t="shared" si="0"/>
        <v>B05</v>
      </c>
      <c r="B30" s="43" t="str">
        <f t="shared" si="7"/>
        <v>CYTA</v>
      </c>
      <c r="C30" s="43" t="str">
        <f t="shared" si="1"/>
        <v>Άμεση</v>
      </c>
      <c r="D30" s="225">
        <f>IF(S30="",IF(ΓΕΝΙΚΑ!$B$20="ΝΑΙ",14688,""),"")</f>
        <v>14688</v>
      </c>
      <c r="E30" s="285" t="str">
        <f>IF(ΓΕΝΙΚΑ!$B$20="ΝΑΙ","Π. ΣΤΕΡΕΑΣ ΕΛΛΑΔΑΣ","")</f>
        <v>Π. ΣΤΕΡΕΑΣ ΕΛΛΑΔΑΣ</v>
      </c>
      <c r="F30" s="34" t="s">
        <v>414</v>
      </c>
      <c r="G30" s="34">
        <v>95</v>
      </c>
      <c r="H30" s="138">
        <v>3</v>
      </c>
      <c r="I30" s="256"/>
      <c r="J30" s="138">
        <v>21</v>
      </c>
      <c r="K30" s="256">
        <f t="shared" si="2"/>
        <v>21</v>
      </c>
      <c r="L30" s="307">
        <f t="shared" si="3"/>
        <v>24</v>
      </c>
      <c r="M30" s="35">
        <f t="shared" si="10"/>
        <v>0</v>
      </c>
      <c r="N30" s="236" t="str">
        <f t="shared" si="9"/>
        <v/>
      </c>
      <c r="O30" s="275" t="str">
        <f t="shared" si="8"/>
        <v>Μέσω Τηλεφώνου (13877-215 50 13877/13878-215 50 13878)  ή 
μέσω E-mail: cytacc@hq.cyta.gr ή μέσω Fax (215 555 5900):  Δευτέρα - Παρασκευή: 08:00-22:00 &amp; Σάββατο : 09:00-17:00</v>
      </c>
      <c r="P30" s="275" t="str">
        <f t="shared" si="5"/>
        <v>Οι συναντήσεις καθορίζονται αμοιβαία με τον πελάτη</v>
      </c>
      <c r="Q30" s="276" t="str">
        <f t="shared" si="5"/>
        <v>Οι αναφερόμενες ημερολογιακές ημέρες δεν σχετίζονται με το μέσο χρόνο ενεργοποίησης των υπηρεσιών Cyta. Ενδεικτικά, σε δείγμα 100 αιτήσεων με 1η αίτηση την ταχύτερα ενεργοποιημένη και 100η την αίτηση με το μεγαλύτερο χρόνο καθυστέρησης, βάσει του κανονισμού της ΕΕΤΤ, παρατίθενται οι χρόνοι για την 50η και 95η αίτηση αντίστοιχα, ώστε να φαίνονται ξεκάθαρα οι μέγιστοι χρόνοι αναμονής για ενεργοποίηση της υπηρεσίας.</v>
      </c>
      <c r="S30" s="126" t="str">
        <f t="shared" si="6"/>
        <v/>
      </c>
      <c r="T30" s="196" t="str">
        <f>IF(AND(L30="",ΠΕΡΙΦΕΡΕΙΑ!B14&lt;&gt;"Καθόλου"),U16,IF(AND(ΠΕΡΙΦΕΡΕΙΑ!B14="Καθόλου",OR(H30&lt;&gt;"",J30&lt;&gt;"")),"Η περιφέρεια δεν καλύπτεται",""))</f>
        <v/>
      </c>
    </row>
    <row r="1048576" spans="12:12" hidden="1" x14ac:dyDescent="0.25">
      <c r="L1048576" s="308"/>
    </row>
  </sheetData>
  <sheetProtection password="ECDD" sheet="1" objects="1" scenarios="1" formatColumns="0" formatRows="0" selectLockedCells="1"/>
  <conditionalFormatting sqref="S3:S30">
    <cfRule type="cellIs" dxfId="3" priority="1" operator="equal">
      <formula>"ΣΦΑΛΜΑ"</formula>
    </cfRule>
  </conditionalFormatting>
  <dataValidations count="3">
    <dataValidation type="list" allowBlank="1" showInputMessage="1" showErrorMessage="1" sqref="C4:C30">
      <formula1>Serv_Type</formula1>
    </dataValidation>
    <dataValidation type="list" allowBlank="1" showInputMessage="1" showErrorMessage="1" sqref="G3:G30">
      <formula1>Percent.</formula1>
    </dataValidation>
    <dataValidation type="list" allowBlank="1" showInputMessage="1" showErrorMessage="1" sqref="C3">
      <formula1>ServiceType</formula1>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6"/>
  <sheetViews>
    <sheetView topLeftCell="F2" zoomScaleNormal="100" workbookViewId="0">
      <selection activeCell="M3" sqref="M3"/>
    </sheetView>
  </sheetViews>
  <sheetFormatPr defaultColWidth="0" defaultRowHeight="15" zeroHeight="1" x14ac:dyDescent="0.25"/>
  <cols>
    <col min="1" max="1" width="50" style="174" customWidth="1"/>
    <col min="2" max="2" width="23" style="174" hidden="1" customWidth="1"/>
    <col min="3" max="3" width="23" style="174" customWidth="1"/>
    <col min="4" max="4" width="27" style="259" hidden="1" customWidth="1"/>
    <col min="5" max="5" width="38.5703125" style="259" hidden="1" customWidth="1"/>
    <col min="6" max="6" width="38.140625" style="174" customWidth="1"/>
    <col min="7" max="8" width="28.28515625" style="174" customWidth="1"/>
    <col min="9" max="9" width="28.28515625" style="174" hidden="1" customWidth="1"/>
    <col min="10" max="10" width="28.28515625" style="174" customWidth="1"/>
    <col min="11" max="11" width="28.28515625" style="174" hidden="1" customWidth="1"/>
    <col min="12" max="12" width="62.85546875" style="174" customWidth="1"/>
    <col min="13" max="13" width="75.7109375" style="174" customWidth="1"/>
    <col min="14" max="14" width="9.140625" style="174" customWidth="1"/>
    <col min="15" max="15" width="16.140625" style="174" customWidth="1"/>
    <col min="16" max="16" width="58.140625" style="174" customWidth="1"/>
    <col min="17" max="17" width="0" style="174" hidden="1" customWidth="1"/>
    <col min="18" max="16384" width="9.140625" style="174" hidden="1"/>
  </cols>
  <sheetData>
    <row r="1" spans="1:16" ht="15.75" hidden="1" thickBot="1" x14ac:dyDescent="0.3">
      <c r="A1" t="s">
        <v>502</v>
      </c>
      <c r="B1" t="s">
        <v>501</v>
      </c>
      <c r="C1" t="s">
        <v>503</v>
      </c>
      <c r="D1" s="232" t="s">
        <v>900</v>
      </c>
      <c r="E1" s="232" t="s">
        <v>901</v>
      </c>
      <c r="F1" s="83" t="s">
        <v>506</v>
      </c>
      <c r="G1" t="s">
        <v>530</v>
      </c>
      <c r="H1" t="s">
        <v>516</v>
      </c>
      <c r="I1" t="s">
        <v>529</v>
      </c>
      <c r="J1" t="s">
        <v>516</v>
      </c>
      <c r="K1" t="s">
        <v>528</v>
      </c>
      <c r="L1" s="24" t="s">
        <v>531</v>
      </c>
      <c r="M1" s="24" t="s">
        <v>509</v>
      </c>
      <c r="O1" s="24" t="s">
        <v>516</v>
      </c>
      <c r="P1" s="24" t="s">
        <v>516</v>
      </c>
    </row>
    <row r="2" spans="1:16" ht="60.75" thickBot="1" x14ac:dyDescent="0.3">
      <c r="A2" s="3" t="s">
        <v>422</v>
      </c>
      <c r="B2" s="4" t="s">
        <v>28</v>
      </c>
      <c r="C2" s="4" t="s">
        <v>433</v>
      </c>
      <c r="D2" s="247"/>
      <c r="E2" s="247"/>
      <c r="F2" s="4" t="s">
        <v>545</v>
      </c>
      <c r="G2" s="4" t="s">
        <v>499</v>
      </c>
      <c r="H2" s="4" t="s">
        <v>560</v>
      </c>
      <c r="I2" s="4" t="s">
        <v>560</v>
      </c>
      <c r="J2" s="4" t="s">
        <v>561</v>
      </c>
      <c r="K2" s="4" t="s">
        <v>561</v>
      </c>
      <c r="L2" s="4" t="s">
        <v>470</v>
      </c>
      <c r="M2" s="22" t="s">
        <v>421</v>
      </c>
      <c r="O2" s="146" t="s">
        <v>452</v>
      </c>
      <c r="P2" s="107" t="s">
        <v>550</v>
      </c>
    </row>
    <row r="3" spans="1:16" ht="90" customHeight="1" thickTop="1" x14ac:dyDescent="0.25">
      <c r="A3" s="39" t="s">
        <v>468</v>
      </c>
      <c r="B3" s="47" t="str">
        <f>ΓΕΝΙΚΑ!C4</f>
        <v>CYTA</v>
      </c>
      <c r="C3" s="261" t="s">
        <v>434</v>
      </c>
      <c r="D3" s="237">
        <f>IF(O3="",IF(ΓΕΝΙΚΑ!$B$21="ΝΑΙ",15300,""),"")</f>
        <v>15300</v>
      </c>
      <c r="E3" s="227" t="str">
        <f>IF(ΓΕΝΙΚΑ!$B$21="ΝΑΙ","ΠΑΝΕΛΛΑΔΙΚΑ","")</f>
        <v>ΠΑΝΕΛΛΑΔΙΚΑ</v>
      </c>
      <c r="F3" s="40" t="s">
        <v>552</v>
      </c>
      <c r="G3" s="280">
        <f>IF(AND(ISNUMBER(H3),ISNUMBER(J3)),ROUND(H3/J3,2),"")</f>
        <v>0.11</v>
      </c>
      <c r="H3" s="151">
        <v>34829</v>
      </c>
      <c r="I3" s="311">
        <f>IF(ISNUMBER(H3),ROUND(H3,0),"")</f>
        <v>34829</v>
      </c>
      <c r="J3" s="150">
        <v>313323</v>
      </c>
      <c r="K3" s="311">
        <f>IF(ISNUMBER(J3),ROUND(J3,0),"")</f>
        <v>313323</v>
      </c>
      <c r="L3" s="258" t="s">
        <v>947</v>
      </c>
      <c r="M3" s="257"/>
      <c r="O3" s="45" t="str">
        <f>IF(P3&lt;&gt;"","ΣΦΑΛΜΑ","")</f>
        <v/>
      </c>
      <c r="P3" s="147" t="str">
        <f>CONCATENATE(IF(NOT(ISNUMBER(H3)),"Πρέπει να συμπληρωθεί υποχρεωτικά ο αριθμός παραδεκτών αναφορών βλάβης",""),IF(NOT(ISNUMBER(J3)),"  |  Πρέπει να συμπληρωθεί υποχρεωτικά η μέση τιμή γραμμών πρόσβασης",""))</f>
        <v/>
      </c>
    </row>
    <row r="4" spans="1:16" ht="60" x14ac:dyDescent="0.25">
      <c r="A4" s="41" t="str">
        <f t="shared" ref="A4:A16" si="0">A$3</f>
        <v>B06</v>
      </c>
      <c r="B4" s="38" t="str">
        <f t="shared" ref="B4:B16" si="1">B$3</f>
        <v>CYTA</v>
      </c>
      <c r="C4" s="38" t="str">
        <f t="shared" ref="C4:C16" si="2">$C$3</f>
        <v>Άμεση</v>
      </c>
      <c r="D4" s="224">
        <f>IF(O4="",IF(ΓΕΝΙΚΑ!$B$21="ΝΑΙ",14664,""),"")</f>
        <v>14664</v>
      </c>
      <c r="E4" s="228" t="str">
        <f>IF(ΓΕΝΙΚΑ!$B$21="ΝΑΙ","Π. ΑΝΑΤΟΛΙΚΗΣ ΜΑΚΕΔΟΝΙΑΣ - ΘΡΑΚΗΣ","")</f>
        <v>Π. ΑΝΑΤΟΛΙΚΗΣ ΜΑΚΕΔΟΝΙΑΣ - ΘΡΑΚΗΣ</v>
      </c>
      <c r="F4" s="23" t="s">
        <v>39</v>
      </c>
      <c r="G4" s="280">
        <f t="shared" ref="G4:G16" si="3">IF(AND(ISNUMBER(H4),ISNUMBER(J4)),ROUND(H4/J4,2),"")</f>
        <v>0.1</v>
      </c>
      <c r="H4" s="151">
        <v>762</v>
      </c>
      <c r="I4" s="311">
        <f t="shared" ref="I4:I16" si="4">IF(ISNUMBER(H4),ROUND(H4,0),"")</f>
        <v>762</v>
      </c>
      <c r="J4" s="150">
        <v>7915</v>
      </c>
      <c r="K4" s="311">
        <f t="shared" ref="K4:K16" si="5">IF(ISNUMBER(J4),ROUND(J4,0),"")</f>
        <v>7915</v>
      </c>
      <c r="L4" s="273" t="str">
        <f>L$3</f>
        <v xml:space="preserve">Μέσω Τηλεφώνου(13811-215 50 13811 - 13878- 215 5013878) ή Μέσω E-mail :techsupport@hq.cyta.gr  :Δευτέρα- Κυριακή &amp; αργίες:00:00-24:00. Οι χρεώσεις ορίζονται στον δείκτη Η01. 
</v>
      </c>
      <c r="M4" s="274">
        <f>M$3</f>
        <v>0</v>
      </c>
      <c r="O4" s="126" t="str">
        <f t="shared" ref="O4:O16" si="6">IF(P4&lt;&gt;"","ΣΦΑΛΜΑ","")</f>
        <v/>
      </c>
      <c r="P4" s="148" t="str">
        <f>IF(ΠΕΡΙΦΕΡΕΙΑ!B2="Καθόλου",IF(OR(H4&lt;&gt;"",J4&lt;&gt;""),"Η περιφέρεια δεν καλύπτεται",""),CONCATENATE(IF(NOT(ISNUMBER(H4)),"Πρέπει να συμπληρωθεί υποχρεωτικά ο αριθμός παραδεκτών αναφορών βλάβης",""),IF(NOT(ISNUMBER(J4)),"  |  Πρέπει να συμπληρωθεί υποχρεωτικά η μέση τιμή γραμμών πρόσβασης","")))</f>
        <v/>
      </c>
    </row>
    <row r="5" spans="1:16" ht="60" x14ac:dyDescent="0.25">
      <c r="A5" s="41" t="str">
        <f t="shared" si="0"/>
        <v>B06</v>
      </c>
      <c r="B5" s="38" t="str">
        <f t="shared" si="1"/>
        <v>CYTA</v>
      </c>
      <c r="C5" s="38" t="str">
        <f t="shared" si="2"/>
        <v>Άμεση</v>
      </c>
      <c r="D5" s="238">
        <f>IF(O5="",IF(ΓΕΝΙΚΑ!$B$21="ΝΑΙ",14666,""),"")</f>
        <v>14666</v>
      </c>
      <c r="E5" s="229" t="str">
        <f>IF(ΓΕΝΙΚΑ!$B$21="ΝΑΙ","Π. ΑΤΤΙΚΗΣ","")</f>
        <v>Π. ΑΤΤΙΚΗΣ</v>
      </c>
      <c r="F5" s="7" t="s">
        <v>40</v>
      </c>
      <c r="G5" s="280">
        <f t="shared" si="3"/>
        <v>0.11</v>
      </c>
      <c r="H5" s="151">
        <v>13332</v>
      </c>
      <c r="I5" s="311">
        <f t="shared" si="4"/>
        <v>13332</v>
      </c>
      <c r="J5" s="150">
        <v>126878</v>
      </c>
      <c r="K5" s="311">
        <f t="shared" si="5"/>
        <v>126878</v>
      </c>
      <c r="L5" s="273" t="str">
        <f t="shared" ref="L5:M16" si="7">L$3</f>
        <v xml:space="preserve">Μέσω Τηλεφώνου(13811-215 50 13811 - 13878- 215 5013878) ή Μέσω E-mail :techsupport@hq.cyta.gr  :Δευτέρα- Κυριακή &amp; αργίες:00:00-24:00. Οι χρεώσεις ορίζονται στον δείκτη Η01. 
</v>
      </c>
      <c r="M5" s="274">
        <f t="shared" si="7"/>
        <v>0</v>
      </c>
      <c r="O5" s="126" t="str">
        <f t="shared" si="6"/>
        <v/>
      </c>
      <c r="P5" s="148" t="str">
        <f>IF(ΠΕΡΙΦΕΡΕΙΑ!B3="Καθόλου",IF(OR(H5&lt;&gt;"",J5&lt;&gt;""),"Η περιφέρεια δεν καλύπτεται",""),CONCATENATE(IF(NOT(ISNUMBER(H5)),"Πρέπει να συμπληρωθεί υποχρεωτικά ο αριθμός παραδεκτών αναφορών βλάβης",""),IF(NOT(ISNUMBER(J5)),"  |  Πρέπει να συμπληρωθεί υποχρεωτικά η μέση τιμή γραμμών πρόσβασης","")))</f>
        <v/>
      </c>
    </row>
    <row r="6" spans="1:16" ht="60" x14ac:dyDescent="0.25">
      <c r="A6" s="41" t="str">
        <f t="shared" si="0"/>
        <v>B06</v>
      </c>
      <c r="B6" s="38" t="str">
        <f t="shared" si="1"/>
        <v>CYTA</v>
      </c>
      <c r="C6" s="38" t="str">
        <f t="shared" si="2"/>
        <v>Άμεση</v>
      </c>
      <c r="D6" s="224">
        <f>IF(O6="",IF(ΓΕΝΙΚΑ!$B$21="ΝΑΙ",14668,""),"")</f>
        <v>14668</v>
      </c>
      <c r="E6" s="228" t="str">
        <f>IF(ΓΕΝΙΚΑ!$B$21="ΝΑΙ","Π. ΒΟΡΕΙΟΥ ΑΙΓΑΙΟΥ","")</f>
        <v>Π. ΒΟΡΕΙΟΥ ΑΙΓΑΙΟΥ</v>
      </c>
      <c r="F6" s="23" t="s">
        <v>404</v>
      </c>
      <c r="G6" s="280" t="str">
        <f t="shared" si="3"/>
        <v/>
      </c>
      <c r="H6" s="151"/>
      <c r="I6" s="311" t="str">
        <f t="shared" si="4"/>
        <v/>
      </c>
      <c r="J6" s="150"/>
      <c r="K6" s="311" t="str">
        <f t="shared" si="5"/>
        <v/>
      </c>
      <c r="L6" s="273" t="str">
        <f t="shared" si="7"/>
        <v xml:space="preserve">Μέσω Τηλεφώνου(13811-215 50 13811 - 13878- 215 5013878) ή Μέσω E-mail :techsupport@hq.cyta.gr  :Δευτέρα- Κυριακή &amp; αργίες:00:00-24:00. Οι χρεώσεις ορίζονται στον δείκτη Η01. 
</v>
      </c>
      <c r="M6" s="274">
        <f t="shared" si="7"/>
        <v>0</v>
      </c>
      <c r="O6" s="126" t="str">
        <f t="shared" si="6"/>
        <v/>
      </c>
      <c r="P6" s="148" t="str">
        <f>IF(ΠΕΡΙΦΕΡΕΙΑ!B4="Καθόλου",IF(OR(H6&lt;&gt;"",J6&lt;&gt;""),"Η περιφέρεια δεν καλύπτεται",""),CONCATENATE(IF(NOT(ISNUMBER(H6)),"Πρέπει να συμπληρωθεί υποχρεωτικά ο αριθμός παραδεκτών αναφορών βλάβης",""),IF(NOT(ISNUMBER(J6)),"  |  Πρέπει να συμπληρωθεί υποχρεωτικά η μέση τιμή γραμμών πρόσβασης","")))</f>
        <v/>
      </c>
    </row>
    <row r="7" spans="1:16" ht="60" x14ac:dyDescent="0.25">
      <c r="A7" s="41" t="str">
        <f t="shared" si="0"/>
        <v>B06</v>
      </c>
      <c r="B7" s="38" t="str">
        <f t="shared" si="1"/>
        <v>CYTA</v>
      </c>
      <c r="C7" s="38" t="str">
        <f t="shared" si="2"/>
        <v>Άμεση</v>
      </c>
      <c r="D7" s="238">
        <f>IF(O7="",IF(ΓΕΝΙΚΑ!$B$21="ΝΑΙ",14670,""),"")</f>
        <v>14670</v>
      </c>
      <c r="E7" s="229" t="str">
        <f>IF(ΓΕΝΙΚΑ!$B$21="ΝΑΙ","Π. ΔΥΤΙΚΗΣ ΕΛΛΑΔΑΣ","")</f>
        <v>Π. ΔΥΤΙΚΗΣ ΕΛΛΑΔΑΣ</v>
      </c>
      <c r="F7" s="7" t="s">
        <v>405</v>
      </c>
      <c r="G7" s="280">
        <f t="shared" si="3"/>
        <v>0.12</v>
      </c>
      <c r="H7" s="151">
        <v>1131</v>
      </c>
      <c r="I7" s="311">
        <f t="shared" si="4"/>
        <v>1131</v>
      </c>
      <c r="J7" s="150">
        <v>9772</v>
      </c>
      <c r="K7" s="311">
        <f t="shared" si="5"/>
        <v>9772</v>
      </c>
      <c r="L7" s="273" t="str">
        <f t="shared" si="7"/>
        <v xml:space="preserve">Μέσω Τηλεφώνου(13811-215 50 13811 - 13878- 215 5013878) ή Μέσω E-mail :techsupport@hq.cyta.gr  :Δευτέρα- Κυριακή &amp; αργίες:00:00-24:00. Οι χρεώσεις ορίζονται στον δείκτη Η01. 
</v>
      </c>
      <c r="M7" s="274">
        <f t="shared" si="7"/>
        <v>0</v>
      </c>
      <c r="O7" s="126" t="str">
        <f t="shared" si="6"/>
        <v/>
      </c>
      <c r="P7" s="148" t="str">
        <f>IF(ΠΕΡΙΦΕΡΕΙΑ!B5="Καθόλου",IF(OR(H7&lt;&gt;"",J7&lt;&gt;""),"Η περιφέρεια δεν καλύπτεται",""),CONCATENATE(IF(NOT(ISNUMBER(H7)),"Πρέπει να συμπληρωθεί υποχρεωτικά ο αριθμός παραδεκτών αναφορών βλάβης",""),IF(NOT(ISNUMBER(J7)),"  |  Πρέπει να συμπληρωθεί υποχρεωτικά η μέση τιμή γραμμών πρόσβασης","")))</f>
        <v/>
      </c>
    </row>
    <row r="8" spans="1:16" ht="60" x14ac:dyDescent="0.25">
      <c r="A8" s="41" t="str">
        <f t="shared" si="0"/>
        <v>B06</v>
      </c>
      <c r="B8" s="38" t="str">
        <f t="shared" si="1"/>
        <v>CYTA</v>
      </c>
      <c r="C8" s="38" t="str">
        <f t="shared" si="2"/>
        <v>Άμεση</v>
      </c>
      <c r="D8" s="224">
        <f>IF(O8="",IF(ΓΕΝΙΚΑ!$B$21="ΝΑΙ",14672,""),"")</f>
        <v>14672</v>
      </c>
      <c r="E8" s="228" t="str">
        <f>IF(ΓΕΝΙΚΑ!$B$21="ΝΑΙ","Π. ΔΥΤΙΚΗΣ ΜΑΚΕΔΟΝΙΑΣ","")</f>
        <v>Π. ΔΥΤΙΚΗΣ ΜΑΚΕΔΟΝΙΑΣ</v>
      </c>
      <c r="F8" s="23" t="s">
        <v>406</v>
      </c>
      <c r="G8" s="280">
        <f t="shared" si="3"/>
        <v>0.12</v>
      </c>
      <c r="H8" s="151">
        <v>3089</v>
      </c>
      <c r="I8" s="311">
        <f t="shared" si="4"/>
        <v>3089</v>
      </c>
      <c r="J8" s="150">
        <v>25444</v>
      </c>
      <c r="K8" s="311">
        <f t="shared" si="5"/>
        <v>25444</v>
      </c>
      <c r="L8" s="273" t="str">
        <f t="shared" si="7"/>
        <v xml:space="preserve">Μέσω Τηλεφώνου(13811-215 50 13811 - 13878- 215 5013878) ή Μέσω E-mail :techsupport@hq.cyta.gr  :Δευτέρα- Κυριακή &amp; αργίες:00:00-24:00. Οι χρεώσεις ορίζονται στον δείκτη Η01. 
</v>
      </c>
      <c r="M8" s="274">
        <f t="shared" si="7"/>
        <v>0</v>
      </c>
      <c r="O8" s="126" t="str">
        <f t="shared" si="6"/>
        <v/>
      </c>
      <c r="P8" s="148" t="str">
        <f>IF(ΠΕΡΙΦΕΡΕΙΑ!B6="Καθόλου",IF(OR(H8&lt;&gt;"",J8&lt;&gt;""),"Η περιφέρεια δεν καλύπτεται",""),CONCATENATE(IF(NOT(ISNUMBER(H8)),"Πρέπει να συμπληρωθεί υποχρεωτικά ο αριθμός παραδεκτών αναφορών βλάβης",""),IF(NOT(ISNUMBER(J8)),"  |  Πρέπει να συμπληρωθεί υποχρεωτικά η μέση τιμή γραμμών πρόσβασης","")))</f>
        <v/>
      </c>
    </row>
    <row r="9" spans="1:16" ht="60" x14ac:dyDescent="0.25">
      <c r="A9" s="41" t="str">
        <f t="shared" si="0"/>
        <v>B06</v>
      </c>
      <c r="B9" s="38" t="str">
        <f t="shared" si="1"/>
        <v>CYTA</v>
      </c>
      <c r="C9" s="38" t="str">
        <f t="shared" si="2"/>
        <v>Άμεση</v>
      </c>
      <c r="D9" s="238">
        <f>IF(O9="",IF(ΓΕΝΙΚΑ!$B$21="ΝΑΙ",14674,""),"")</f>
        <v>14674</v>
      </c>
      <c r="E9" s="229" t="str">
        <f>IF(ΓΕΝΙΚΑ!$B$21="ΝΑΙ","Π. ΗΠΕΙΡΟΥ","")</f>
        <v>Π. ΗΠΕΙΡΟΥ</v>
      </c>
      <c r="F9" s="7" t="s">
        <v>407</v>
      </c>
      <c r="G9" s="280">
        <f t="shared" si="3"/>
        <v>0.12</v>
      </c>
      <c r="H9" s="151">
        <v>467</v>
      </c>
      <c r="I9" s="311">
        <f t="shared" si="4"/>
        <v>467</v>
      </c>
      <c r="J9" s="150">
        <v>4033</v>
      </c>
      <c r="K9" s="311">
        <f t="shared" si="5"/>
        <v>4033</v>
      </c>
      <c r="L9" s="273" t="str">
        <f t="shared" si="7"/>
        <v xml:space="preserve">Μέσω Τηλεφώνου(13811-215 50 13811 - 13878- 215 5013878) ή Μέσω E-mail :techsupport@hq.cyta.gr  :Δευτέρα- Κυριακή &amp; αργίες:00:00-24:00. Οι χρεώσεις ορίζονται στον δείκτη Η01. 
</v>
      </c>
      <c r="M9" s="274">
        <f t="shared" si="7"/>
        <v>0</v>
      </c>
      <c r="O9" s="126" t="str">
        <f t="shared" si="6"/>
        <v/>
      </c>
      <c r="P9" s="148" t="str">
        <f>IF(ΠΕΡΙΦΕΡΕΙΑ!B7="Καθόλου",IF(OR(H9&lt;&gt;"",J9&lt;&gt;""),"Η περιφέρεια δεν καλύπτεται",""),CONCATENATE(IF(NOT(ISNUMBER(H9)),"Πρέπει να συμπληρωθεί υποχρεωτικά ο αριθμός παραδεκτών αναφορών βλάβης",""),IF(NOT(ISNUMBER(J9)),"  |  Πρέπει να συμπληρωθεί υποχρεωτικά η μέση τιμή γραμμών πρόσβασης","")))</f>
        <v/>
      </c>
    </row>
    <row r="10" spans="1:16" ht="60" x14ac:dyDescent="0.25">
      <c r="A10" s="41" t="str">
        <f t="shared" si="0"/>
        <v>B06</v>
      </c>
      <c r="B10" s="38" t="str">
        <f t="shared" si="1"/>
        <v>CYTA</v>
      </c>
      <c r="C10" s="38" t="str">
        <f t="shared" si="2"/>
        <v>Άμεση</v>
      </c>
      <c r="D10" s="224">
        <f>IF(O10="",IF(ΓΕΝΙΚΑ!$B$21="ΝΑΙ",14676,""),"")</f>
        <v>14676</v>
      </c>
      <c r="E10" s="228" t="str">
        <f>IF(ΓΕΝΙΚΑ!$B$21="ΝΑΙ","Π. ΘΕΣΣΑΛΙΑΣ","")</f>
        <v>Π. ΘΕΣΣΑΛΙΑΣ</v>
      </c>
      <c r="F10" s="23" t="s">
        <v>408</v>
      </c>
      <c r="G10" s="280">
        <f t="shared" si="3"/>
        <v>0.13</v>
      </c>
      <c r="H10" s="151">
        <v>1896</v>
      </c>
      <c r="I10" s="311">
        <f t="shared" si="4"/>
        <v>1896</v>
      </c>
      <c r="J10" s="150">
        <v>14530</v>
      </c>
      <c r="K10" s="311">
        <f t="shared" si="5"/>
        <v>14530</v>
      </c>
      <c r="L10" s="273" t="str">
        <f t="shared" si="7"/>
        <v xml:space="preserve">Μέσω Τηλεφώνου(13811-215 50 13811 - 13878- 215 5013878) ή Μέσω E-mail :techsupport@hq.cyta.gr  :Δευτέρα- Κυριακή &amp; αργίες:00:00-24:00. Οι χρεώσεις ορίζονται στον δείκτη Η01. 
</v>
      </c>
      <c r="M10" s="274">
        <f t="shared" si="7"/>
        <v>0</v>
      </c>
      <c r="O10" s="126" t="str">
        <f t="shared" si="6"/>
        <v/>
      </c>
      <c r="P10" s="148" t="str">
        <f>IF(ΠΕΡΙΦΕΡΕΙΑ!B8="Καθόλου",IF(OR(H10&lt;&gt;"",J10&lt;&gt;""),"Η περιφέρεια δεν καλύπτεται",""),CONCATENATE(IF(NOT(ISNUMBER(H10)),"Πρέπει να συμπληρωθεί υποχρεωτικά ο αριθμός παραδεκτών αναφορών βλάβης",""),IF(NOT(ISNUMBER(J10)),"  |  Πρέπει να συμπληρωθεί υποχρεωτικά η μέση τιμή γραμμών πρόσβασης","")))</f>
        <v/>
      </c>
    </row>
    <row r="11" spans="1:16" ht="60" x14ac:dyDescent="0.25">
      <c r="A11" s="41" t="str">
        <f t="shared" si="0"/>
        <v>B06</v>
      </c>
      <c r="B11" s="38" t="str">
        <f t="shared" si="1"/>
        <v>CYTA</v>
      </c>
      <c r="C11" s="38" t="str">
        <f t="shared" si="2"/>
        <v>Άμεση</v>
      </c>
      <c r="D11" s="238">
        <f>IF(O11="",IF(ΓΕΝΙΚΑ!$B$21="ΝΑΙ",14678,""),"")</f>
        <v>14678</v>
      </c>
      <c r="E11" s="229" t="str">
        <f>IF(ΓΕΝΙΚΑ!$B$21="ΝΑΙ","Π. ΙΟΝΙΩΝ ΝΗΣΩΝ","")</f>
        <v>Π. ΙΟΝΙΩΝ ΝΗΣΩΝ</v>
      </c>
      <c r="F11" s="7" t="s">
        <v>409</v>
      </c>
      <c r="G11" s="280">
        <f t="shared" si="3"/>
        <v>0.17</v>
      </c>
      <c r="H11" s="151">
        <v>206</v>
      </c>
      <c r="I11" s="311">
        <f t="shared" si="4"/>
        <v>206</v>
      </c>
      <c r="J11" s="150">
        <v>1191</v>
      </c>
      <c r="K11" s="311">
        <f t="shared" si="5"/>
        <v>1191</v>
      </c>
      <c r="L11" s="273" t="str">
        <f t="shared" si="7"/>
        <v xml:space="preserve">Μέσω Τηλεφώνου(13811-215 50 13811 - 13878- 215 5013878) ή Μέσω E-mail :techsupport@hq.cyta.gr  :Δευτέρα- Κυριακή &amp; αργίες:00:00-24:00. Οι χρεώσεις ορίζονται στον δείκτη Η01. 
</v>
      </c>
      <c r="M11" s="274">
        <f t="shared" si="7"/>
        <v>0</v>
      </c>
      <c r="O11" s="126" t="str">
        <f t="shared" si="6"/>
        <v/>
      </c>
      <c r="P11" s="148" t="str">
        <f>IF(ΠΕΡΙΦΕΡΕΙΑ!B9="Καθόλου",IF(OR(H11&lt;&gt;"",J11&lt;&gt;""),"Η περιφέρεια δεν καλύπτεται",""),CONCATENATE(IF(NOT(ISNUMBER(H11)),"Πρέπει να συμπληρωθεί υποχρεωτικά ο αριθμός παραδεκτών αναφορών βλάβης",""),IF(NOT(ISNUMBER(J11)),"  |  Πρέπει να συμπληρωθεί υποχρεωτικά η μέση τιμή γραμμών πρόσβασης","")))</f>
        <v/>
      </c>
    </row>
    <row r="12" spans="1:16" ht="60" x14ac:dyDescent="0.25">
      <c r="A12" s="41" t="str">
        <f t="shared" si="0"/>
        <v>B06</v>
      </c>
      <c r="B12" s="38" t="str">
        <f t="shared" si="1"/>
        <v>CYTA</v>
      </c>
      <c r="C12" s="38" t="str">
        <f t="shared" si="2"/>
        <v>Άμεση</v>
      </c>
      <c r="D12" s="224">
        <f>IF(O12="",IF(ΓΕΝΙΚΑ!$B$21="ΝΑΙ",14680,""),"")</f>
        <v>14680</v>
      </c>
      <c r="E12" s="228" t="str">
        <f>IF(ΓΕΝΙΚΑ!$B$21="ΝΑΙ","Π. ΚΕΝΤΡΙΚΗΣ ΜΑΚΕΔΟΝΙΑΣ","")</f>
        <v>Π. ΚΕΝΤΡΙΚΗΣ ΜΑΚΕΔΟΝΙΑΣ</v>
      </c>
      <c r="F12" s="23" t="s">
        <v>410</v>
      </c>
      <c r="G12" s="280">
        <f t="shared" si="3"/>
        <v>0.11</v>
      </c>
      <c r="H12" s="151">
        <v>8439</v>
      </c>
      <c r="I12" s="311">
        <f t="shared" si="4"/>
        <v>8439</v>
      </c>
      <c r="J12" s="150">
        <v>75992</v>
      </c>
      <c r="K12" s="311">
        <f t="shared" si="5"/>
        <v>75992</v>
      </c>
      <c r="L12" s="273" t="str">
        <f t="shared" si="7"/>
        <v xml:space="preserve">Μέσω Τηλεφώνου(13811-215 50 13811 - 13878- 215 5013878) ή Μέσω E-mail :techsupport@hq.cyta.gr  :Δευτέρα- Κυριακή &amp; αργίες:00:00-24:00. Οι χρεώσεις ορίζονται στον δείκτη Η01. 
</v>
      </c>
      <c r="M12" s="274">
        <f t="shared" si="7"/>
        <v>0</v>
      </c>
      <c r="O12" s="126" t="str">
        <f t="shared" si="6"/>
        <v/>
      </c>
      <c r="P12" s="148" t="str">
        <f>IF(ΠΕΡΙΦΕΡΕΙΑ!B10="Καθόλου",IF(OR(H12&lt;&gt;"",J12&lt;&gt;""),"Η περιφέρεια δεν καλύπτεται",""),CONCATENATE(IF(NOT(ISNUMBER(H12)),"Πρέπει να συμπληρωθεί υποχρεωτικά ο αριθμός παραδεκτών αναφορών βλάβης",""),IF(NOT(ISNUMBER(J12)),"  |  Πρέπει να συμπληρωθεί υποχρεωτικά η μέση τιμή γραμμών πρόσβασης","")))</f>
        <v/>
      </c>
    </row>
    <row r="13" spans="1:16" ht="60" x14ac:dyDescent="0.25">
      <c r="A13" s="41" t="str">
        <f t="shared" si="0"/>
        <v>B06</v>
      </c>
      <c r="B13" s="38" t="str">
        <f t="shared" si="1"/>
        <v>CYTA</v>
      </c>
      <c r="C13" s="38" t="str">
        <f t="shared" si="2"/>
        <v>Άμεση</v>
      </c>
      <c r="D13" s="238">
        <f>IF(O13="",IF(ΓΕΝΙΚΑ!$B$21="ΝΑΙ",14682,""),"")</f>
        <v>14682</v>
      </c>
      <c r="E13" s="229" t="str">
        <f>IF(ΓΕΝΙΚΑ!$B$21="ΝΑΙ","Π. ΚΡΗΤΗΣ","")</f>
        <v>Π. ΚΡΗΤΗΣ</v>
      </c>
      <c r="F13" s="7" t="s">
        <v>411</v>
      </c>
      <c r="G13" s="280">
        <f t="shared" si="3"/>
        <v>0.11</v>
      </c>
      <c r="H13" s="151">
        <v>4371</v>
      </c>
      <c r="I13" s="311">
        <f t="shared" si="4"/>
        <v>4371</v>
      </c>
      <c r="J13" s="150">
        <v>38971</v>
      </c>
      <c r="K13" s="311">
        <f t="shared" si="5"/>
        <v>38971</v>
      </c>
      <c r="L13" s="273" t="str">
        <f t="shared" si="7"/>
        <v xml:space="preserve">Μέσω Τηλεφώνου(13811-215 50 13811 - 13878- 215 5013878) ή Μέσω E-mail :techsupport@hq.cyta.gr  :Δευτέρα- Κυριακή &amp; αργίες:00:00-24:00. Οι χρεώσεις ορίζονται στον δείκτη Η01. 
</v>
      </c>
      <c r="M13" s="274">
        <f t="shared" si="7"/>
        <v>0</v>
      </c>
      <c r="O13" s="126" t="str">
        <f t="shared" si="6"/>
        <v/>
      </c>
      <c r="P13" s="148" t="str">
        <f>IF(ΠΕΡΙΦΕΡΕΙΑ!B11="Καθόλου",IF(OR(H13&lt;&gt;"",J13&lt;&gt;""),"Η περιφέρεια δεν καλύπτεται",""),CONCATENATE(IF(NOT(ISNUMBER(H13)),"Πρέπει να συμπληρωθεί υποχρεωτικά ο αριθμός παραδεκτών αναφορών βλάβης",""),IF(NOT(ISNUMBER(J13)),"  |  Πρέπει να συμπληρωθεί υποχρεωτικά η μέση τιμή γραμμών πρόσβασης","")))</f>
        <v/>
      </c>
    </row>
    <row r="14" spans="1:16" ht="60" x14ac:dyDescent="0.25">
      <c r="A14" s="41" t="str">
        <f t="shared" si="0"/>
        <v>B06</v>
      </c>
      <c r="B14" s="38" t="str">
        <f t="shared" si="1"/>
        <v>CYTA</v>
      </c>
      <c r="C14" s="38" t="str">
        <f t="shared" si="2"/>
        <v>Άμεση</v>
      </c>
      <c r="D14" s="224">
        <f>IF(O14="",IF(ΓΕΝΙΚΑ!$B$21="ΝΑΙ",14684,""),"")</f>
        <v>14684</v>
      </c>
      <c r="E14" s="228" t="str">
        <f>IF(ΓΕΝΙΚΑ!$B$21="ΝΑΙ","Π. ΝΟΤΙΟΥ ΑΙΓΑΙΟΥ","")</f>
        <v>Π. ΝΟΤΙΟΥ ΑΙΓΑΙΟΥ</v>
      </c>
      <c r="F14" s="23" t="s">
        <v>412</v>
      </c>
      <c r="G14" s="280" t="str">
        <f t="shared" si="3"/>
        <v/>
      </c>
      <c r="H14" s="151"/>
      <c r="I14" s="311" t="str">
        <f t="shared" si="4"/>
        <v/>
      </c>
      <c r="J14" s="150"/>
      <c r="K14" s="311" t="str">
        <f t="shared" si="5"/>
        <v/>
      </c>
      <c r="L14" s="273" t="str">
        <f t="shared" si="7"/>
        <v xml:space="preserve">Μέσω Τηλεφώνου(13811-215 50 13811 - 13878- 215 5013878) ή Μέσω E-mail :techsupport@hq.cyta.gr  :Δευτέρα- Κυριακή &amp; αργίες:00:00-24:00. Οι χρεώσεις ορίζονται στον δείκτη Η01. 
</v>
      </c>
      <c r="M14" s="274">
        <f t="shared" si="7"/>
        <v>0</v>
      </c>
      <c r="O14" s="126" t="str">
        <f t="shared" si="6"/>
        <v/>
      </c>
      <c r="P14" s="148" t="str">
        <f>IF(ΠΕΡΙΦΕΡΕΙΑ!B12="Καθόλου",IF(OR(H14&lt;&gt;"",J14&lt;&gt;""),"Η περιφέρεια δεν καλύπτεται",""),CONCATENATE(IF(NOT(ISNUMBER(H14)),"Πρέπει να συμπληρωθεί υποχρεωτικά ο αριθμός παραδεκτών αναφορών βλάβης",""),IF(NOT(ISNUMBER(J14)),"  |  Πρέπει να συμπληρωθεί υποχρεωτικά η μέση τιμή γραμμών πρόσβασης","")))</f>
        <v/>
      </c>
    </row>
    <row r="15" spans="1:16" ht="60" x14ac:dyDescent="0.25">
      <c r="A15" s="41" t="str">
        <f t="shared" si="0"/>
        <v>B06</v>
      </c>
      <c r="B15" s="38" t="str">
        <f t="shared" si="1"/>
        <v>CYTA</v>
      </c>
      <c r="C15" s="38" t="str">
        <f t="shared" si="2"/>
        <v>Άμεση</v>
      </c>
      <c r="D15" s="238">
        <f>IF(O15="",IF(ΓΕΝΙΚΑ!$B$21="ΝΑΙ",14686,""),"")</f>
        <v>14686</v>
      </c>
      <c r="E15" s="229" t="str">
        <f>IF(ΓΕΝΙΚΑ!$B$21="ΝΑΙ","Π. ΠΕΛΟΠΟΝΝΗΣΟΥ","")</f>
        <v>Π. ΠΕΛΟΠΟΝΝΗΣΟΥ</v>
      </c>
      <c r="F15" s="7" t="s">
        <v>413</v>
      </c>
      <c r="G15" s="280">
        <f t="shared" si="3"/>
        <v>0.12</v>
      </c>
      <c r="H15" s="151">
        <v>751</v>
      </c>
      <c r="I15" s="311">
        <f t="shared" si="4"/>
        <v>751</v>
      </c>
      <c r="J15" s="150">
        <v>6056</v>
      </c>
      <c r="K15" s="311">
        <f t="shared" si="5"/>
        <v>6056</v>
      </c>
      <c r="L15" s="273" t="str">
        <f t="shared" si="7"/>
        <v xml:space="preserve">Μέσω Τηλεφώνου(13811-215 50 13811 - 13878- 215 5013878) ή Μέσω E-mail :techsupport@hq.cyta.gr  :Δευτέρα- Κυριακή &amp; αργίες:00:00-24:00. Οι χρεώσεις ορίζονται στον δείκτη Η01. 
</v>
      </c>
      <c r="M15" s="274">
        <f t="shared" si="7"/>
        <v>0</v>
      </c>
      <c r="O15" s="126" t="str">
        <f t="shared" si="6"/>
        <v/>
      </c>
      <c r="P15" s="148" t="str">
        <f>IF(ΠΕΡΙΦΕΡΕΙΑ!B13="Καθόλου",IF(OR(H15&lt;&gt;"",J15&lt;&gt;""),"Η περιφέρεια δεν καλύπτεται",""),CONCATENATE(IF(NOT(ISNUMBER(H15)),"Πρέπει να συμπληρωθεί υποχρεωτικά ο αριθμός παραδεκτών αναφορών βλάβης",""),IF(NOT(ISNUMBER(J15)),"  |  Πρέπει να συμπληρωθεί υποχρεωτικά η μέση τιμή γραμμών πρόσβασης","")))</f>
        <v/>
      </c>
    </row>
    <row r="16" spans="1:16" ht="60.75" thickBot="1" x14ac:dyDescent="0.3">
      <c r="A16" s="42" t="str">
        <f t="shared" si="0"/>
        <v>B06</v>
      </c>
      <c r="B16" s="43" t="str">
        <f t="shared" si="1"/>
        <v>CYTA</v>
      </c>
      <c r="C16" s="43" t="str">
        <f t="shared" si="2"/>
        <v>Άμεση</v>
      </c>
      <c r="D16" s="225">
        <f>IF(O16="",IF(ΓΕΝΙΚΑ!$B$21="ΝΑΙ",14688,""),"")</f>
        <v>14688</v>
      </c>
      <c r="E16" s="230" t="str">
        <f>IF(ΓΕΝΙΚΑ!$B$21="ΝΑΙ","Π. ΣΤΕΡΕΑΣ ΕΛΛΑΔΑΣ","")</f>
        <v>Π. ΣΤΕΡΕΑΣ ΕΛΛΑΔΑΣ</v>
      </c>
      <c r="F16" s="34" t="s">
        <v>414</v>
      </c>
      <c r="G16" s="280">
        <f t="shared" si="3"/>
        <v>0.15</v>
      </c>
      <c r="H16" s="151">
        <v>385</v>
      </c>
      <c r="I16" s="311">
        <f t="shared" si="4"/>
        <v>385</v>
      </c>
      <c r="J16" s="150">
        <v>2541</v>
      </c>
      <c r="K16" s="311">
        <f t="shared" si="5"/>
        <v>2541</v>
      </c>
      <c r="L16" s="275" t="str">
        <f t="shared" si="7"/>
        <v xml:space="preserve">Μέσω Τηλεφώνου(13811-215 50 13811 - 13878- 215 5013878) ή Μέσω E-mail :techsupport@hq.cyta.gr  :Δευτέρα- Κυριακή &amp; αργίες:00:00-24:00. Οι χρεώσεις ορίζονται στον δείκτη Η01. 
</v>
      </c>
      <c r="M16" s="276">
        <f t="shared" si="7"/>
        <v>0</v>
      </c>
      <c r="O16" s="127" t="str">
        <f t="shared" si="6"/>
        <v/>
      </c>
      <c r="P16" s="149" t="str">
        <f>IF(ΠΕΡΙΦΕΡΕΙΑ!B14="Καθόλου",IF(OR(H16&lt;&gt;"",J16&lt;&gt;""),"Η περιφέρεια δεν καλύπτεται",""),CONCATENATE(IF(NOT(ISNUMBER(H16)),"Πρέπει να συμπληρωθεί υποχρεωτικά ο αριθμός παραδεκτών αναφορών βλάβης",""),IF(NOT(ISNUMBER(J16)),"  |  Πρέπει να συμπληρωθεί υποχρεωτικά η μέση τιμή γραμμών πρόσβασης","")))</f>
        <v/>
      </c>
    </row>
  </sheetData>
  <sheetProtection password="ECDD" sheet="1" objects="1" scenarios="1" formatColumns="0" formatRows="0" selectLockedCells="1"/>
  <conditionalFormatting sqref="O3:O16">
    <cfRule type="cellIs" dxfId="2" priority="1" operator="equal">
      <formula>"ΣΦΑΛΜΑ"</formula>
    </cfRule>
  </conditionalFormatting>
  <dataValidations count="2">
    <dataValidation type="list" allowBlank="1" showInputMessage="1" showErrorMessage="1" sqref="C4:C16">
      <formula1>Serv_Type</formula1>
    </dataValidation>
    <dataValidation type="list" allowBlank="1" showInputMessage="1" showErrorMessage="1" sqref="C3">
      <formula1>ServiceType</formula1>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B30"/>
  <sheetViews>
    <sheetView topLeftCell="C2" workbookViewId="0">
      <selection activeCell="H30" sqref="H30"/>
    </sheetView>
  </sheetViews>
  <sheetFormatPr defaultColWidth="0" defaultRowHeight="15" zeroHeight="1" x14ac:dyDescent="0.25"/>
  <cols>
    <col min="1" max="1" width="50" style="174" customWidth="1"/>
    <col min="2" max="2" width="23" style="174" hidden="1" customWidth="1"/>
    <col min="3" max="3" width="23" style="174" customWidth="1"/>
    <col min="4" max="4" width="38.140625" style="259" hidden="1" customWidth="1"/>
    <col min="5" max="5" width="37.42578125" style="259" hidden="1" customWidth="1"/>
    <col min="6" max="6" width="38.140625" style="174" customWidth="1"/>
    <col min="7" max="7" width="26" style="174" customWidth="1"/>
    <col min="8" max="8" width="28.28515625" style="174" customWidth="1"/>
    <col min="9" max="9" width="28.28515625" style="174" hidden="1" customWidth="1"/>
    <col min="10" max="10" width="35.140625" style="174" customWidth="1"/>
    <col min="11" max="11" width="28.28515625" style="174" hidden="1" customWidth="1"/>
    <col min="12" max="13" width="28.28515625" style="174" customWidth="1"/>
    <col min="14" max="14" width="28.28515625" style="174" hidden="1" customWidth="1"/>
    <col min="15" max="15" width="40.28515625" style="174" customWidth="1"/>
    <col min="16" max="16" width="31.28515625" style="174" customWidth="1"/>
    <col min="17" max="17" width="74.7109375" style="174" customWidth="1"/>
    <col min="18" max="18" width="9.140625" style="174" customWidth="1"/>
    <col min="19" max="19" width="16.140625" style="174" customWidth="1"/>
    <col min="20" max="20" width="72.7109375" style="174" customWidth="1"/>
    <col min="21" max="16384" width="9.140625" style="174" hidden="1"/>
  </cols>
  <sheetData>
    <row r="1" spans="1:28" ht="15.75" hidden="1" thickBot="1" x14ac:dyDescent="0.3">
      <c r="A1" t="s">
        <v>502</v>
      </c>
      <c r="B1" t="s">
        <v>501</v>
      </c>
      <c r="C1" s="2" t="s">
        <v>503</v>
      </c>
      <c r="D1" s="232" t="s">
        <v>900</v>
      </c>
      <c r="E1" s="232" t="s">
        <v>901</v>
      </c>
      <c r="F1" s="64" t="s">
        <v>506</v>
      </c>
      <c r="G1" t="s">
        <v>521</v>
      </c>
      <c r="H1" t="s">
        <v>516</v>
      </c>
      <c r="I1" t="s">
        <v>532</v>
      </c>
      <c r="J1" t="s">
        <v>516</v>
      </c>
      <c r="K1" t="s">
        <v>533</v>
      </c>
      <c r="L1" t="s">
        <v>534</v>
      </c>
      <c r="M1" t="s">
        <v>516</v>
      </c>
      <c r="N1" s="231" t="s">
        <v>516</v>
      </c>
      <c r="O1" s="24" t="s">
        <v>919</v>
      </c>
      <c r="P1" s="2" t="s">
        <v>535</v>
      </c>
      <c r="Q1" s="24" t="s">
        <v>509</v>
      </c>
      <c r="S1" s="24" t="s">
        <v>516</v>
      </c>
      <c r="T1" s="24" t="s">
        <v>516</v>
      </c>
    </row>
    <row r="2" spans="1:28" ht="108.75" thickBot="1" x14ac:dyDescent="0.3">
      <c r="A2" s="3" t="s">
        <v>422</v>
      </c>
      <c r="B2" s="4" t="s">
        <v>28</v>
      </c>
      <c r="C2" s="4" t="s">
        <v>433</v>
      </c>
      <c r="D2" s="233"/>
      <c r="E2" s="233"/>
      <c r="F2" s="4" t="s">
        <v>545</v>
      </c>
      <c r="G2" s="4" t="s">
        <v>500</v>
      </c>
      <c r="H2" s="4" t="s">
        <v>562</v>
      </c>
      <c r="I2" s="4" t="s">
        <v>562</v>
      </c>
      <c r="J2" s="4" t="s">
        <v>569</v>
      </c>
      <c r="K2" s="4" t="s">
        <v>563</v>
      </c>
      <c r="L2" s="4" t="s">
        <v>564</v>
      </c>
      <c r="M2" s="4" t="s">
        <v>565</v>
      </c>
      <c r="N2" s="4" t="s">
        <v>565</v>
      </c>
      <c r="O2" s="4" t="s">
        <v>470</v>
      </c>
      <c r="P2" s="85" t="s">
        <v>465</v>
      </c>
      <c r="Q2" s="22" t="s">
        <v>421</v>
      </c>
      <c r="S2" s="125" t="s">
        <v>452</v>
      </c>
      <c r="T2" s="107" t="s">
        <v>550</v>
      </c>
      <c r="W2" s="288" t="s">
        <v>913</v>
      </c>
      <c r="X2" s="288" t="s">
        <v>914</v>
      </c>
    </row>
    <row r="3" spans="1:28" ht="105" customHeight="1" thickTop="1" x14ac:dyDescent="0.25">
      <c r="A3" s="39" t="s">
        <v>467</v>
      </c>
      <c r="B3" s="47" t="str">
        <f>ΓΕΝΙΚΑ!C4</f>
        <v>CYTA</v>
      </c>
      <c r="C3" s="135" t="s">
        <v>434</v>
      </c>
      <c r="D3" s="237">
        <f>IF(S3="",IF(ΓΕΝΙΚΑ!$B$22="ΝΑΙ",15300,""),"")</f>
        <v>15300</v>
      </c>
      <c r="E3" s="227" t="str">
        <f>IF(ΓΕΝΙΚΑ!$B$22="ΝΑΙ","ΠΑΝΕΛΛΑΔΙΚΑ","")</f>
        <v>ΠΑΝΕΛΛΑΔΙΚΑ</v>
      </c>
      <c r="F3" s="40" t="s">
        <v>552</v>
      </c>
      <c r="G3" s="5">
        <v>50</v>
      </c>
      <c r="H3" s="136">
        <v>63.09</v>
      </c>
      <c r="I3" s="140"/>
      <c r="J3" s="136">
        <v>8.91</v>
      </c>
      <c r="K3" s="140">
        <f>IF(ISNUMBER(J3),ROUND(J3,2),"")</f>
        <v>8.91</v>
      </c>
      <c r="L3" s="59">
        <f>IF(AND(ISNUMBER(H3),ISNUMBER(J3)),ROUND(H3+J3,0),IF(ISNUMBER(H3),ROUND(H3,0),IF(ISNUMBER(J3),ROUND(J3,0),"")))</f>
        <v>72</v>
      </c>
      <c r="M3" s="153">
        <v>5</v>
      </c>
      <c r="N3" s="312">
        <f>IF(ISNUMBER(M3),ROUND(M3,2),"")</f>
        <v>5</v>
      </c>
      <c r="O3" s="258" t="s">
        <v>947</v>
      </c>
      <c r="P3" s="254" t="s">
        <v>948</v>
      </c>
      <c r="Q3" s="255" t="s">
        <v>949</v>
      </c>
      <c r="S3" s="126" t="str">
        <f>IF(T3="","","ΣΦΑΛΜΑ")</f>
        <v/>
      </c>
      <c r="T3" s="198" t="str">
        <f>CONCATENATE(IF(NOT(ISNUMBER(H3)),U3,IF(H3&gt;H17,W3,"")),IF(J3&gt;J17,X3,""),IF(NOT(ISNUMBER(M3)),AA3,IF(M3&gt;M17,AB3,"")))</f>
        <v/>
      </c>
      <c r="U3" s="288" t="s">
        <v>570</v>
      </c>
      <c r="V3" s="288" t="s">
        <v>912</v>
      </c>
      <c r="W3" s="288"/>
      <c r="X3" s="288"/>
      <c r="Y3" s="288" t="s">
        <v>915</v>
      </c>
      <c r="Z3" s="288" t="s">
        <v>574</v>
      </c>
      <c r="AA3" s="288" t="s">
        <v>916</v>
      </c>
      <c r="AB3" s="174" t="s">
        <v>917</v>
      </c>
    </row>
    <row r="4" spans="1:28" ht="105" x14ac:dyDescent="0.25">
      <c r="A4" s="41" t="str">
        <f t="shared" ref="A4:B30" si="0">A$3</f>
        <v>B07</v>
      </c>
      <c r="B4" s="38" t="str">
        <f t="shared" si="0"/>
        <v>CYTA</v>
      </c>
      <c r="C4" s="38" t="str">
        <f t="shared" ref="C4:C30" si="1">$C$3</f>
        <v>Άμεση</v>
      </c>
      <c r="D4" s="224">
        <f>IF(S4="",IF(ΓΕΝΙΚΑ!$B$22="ΝΑΙ",14664,""),"")</f>
        <v>14664</v>
      </c>
      <c r="E4" s="228" t="str">
        <f>IF(ΓΕΝΙΚΑ!$B$22="ΝΑΙ","Π. ΑΝΑΤΟΛΙΚΗΣ ΜΑΚΕΔΟΝΙΑΣ - ΘΡΑΚΗΣ","")</f>
        <v>Π. ΑΝΑΤΟΛΙΚΗΣ ΜΑΚΕΔΟΝΙΑΣ - ΘΡΑΚΗΣ</v>
      </c>
      <c r="F4" s="7" t="s">
        <v>39</v>
      </c>
      <c r="G4" s="7">
        <v>50</v>
      </c>
      <c r="H4" s="137">
        <v>64.069999999999993</v>
      </c>
      <c r="I4" s="256">
        <f t="shared" ref="I4:I30" si="2">IF(ISNUMBER(H4),ROUND(H4,2),"")</f>
        <v>64.069999999999993</v>
      </c>
      <c r="J4" s="137">
        <v>7.93</v>
      </c>
      <c r="K4" s="256">
        <f t="shared" ref="K4:K30" si="3">IF(ISNUMBER(J4),ROUND(J4,2),"")</f>
        <v>7.93</v>
      </c>
      <c r="L4" s="57">
        <f t="shared" ref="L4:L30" si="4">IF(AND(ISNUMBER(H4),ISNUMBER(J4)),ROUND(H4+J4,0),IF(ISNUMBER(H4),ROUND(H4,0),IF(ISNUMBER(J4),ROUND(J4,0),"")))</f>
        <v>72</v>
      </c>
      <c r="M4" s="154">
        <v>5</v>
      </c>
      <c r="N4" s="312">
        <f t="shared" ref="N4:N30" si="5">IF(ISNUMBER(M4),ROUND(M4,2),"")</f>
        <v>5</v>
      </c>
      <c r="O4" s="273" t="str">
        <f>O$3</f>
        <v xml:space="preserve">Μέσω Τηλεφώνου(13811-215 50 13811 - 13878- 215 5013878) ή Μέσω E-mail :techsupport@hq.cyta.gr  :Δευτέρα- Κυριακή &amp; αργίες:00:00-24:00. Οι χρεώσεις ορίζονται στον δείκτη Η01. 
</v>
      </c>
      <c r="P4" s="273" t="str">
        <f t="shared" ref="P4:Q30" si="6">P$3</f>
        <v>Οι συναντήσεις καθορίζονται ανάλογα με την κρισιμότητα του περιστατικού, τον χρόνο δήλωσης βλάβης και την διαθεσιμότητα του πελάτη.</v>
      </c>
      <c r="Q4" s="274" t="str">
        <f t="shared" si="6"/>
        <v>Oι αναφερόμενες ώρες δεν σχετίζονται με το μέσο χρόνο επιδιόρθωσης βλαβών. Ενδεικτικά, σε δείγμα 100 βλαβών με 1η βλάβη την ταχύτερα επιδιορθωμένη και 100η την βλάβη με το μεγαλύτερο χρόνο καθυστέρησης, βάσει του κανονισμού της ΕΕΤΤ, παρατίθενται οι χρόνοι για την 50η και 95η βλάβη αντίστοιχα, ώστε να φαίνονται ξεκάθαρα οι μέγιστοι χρόνοι  για αποκατάσταση μιας βλάβης. Στους ανωτέρω χρόνους προσμετράται και ο χρόνος ολοκλήρωσης επιβεβαίωσης της αποκατάστασης με τον πελάτη.</v>
      </c>
      <c r="S4" s="126" t="str">
        <f t="shared" ref="S4:S30" si="7">IF(T4="","","ΣΦΑΛΜΑ")</f>
        <v/>
      </c>
      <c r="T4" s="198" t="str">
        <f>IF(ΠΕΡΙΦΕΡΕΙΑ!B2="Καθόλου",IF(OR(H4&lt;&gt;"",J4&lt;&gt;"",M4&lt;&gt;""),"Η περιφέρεια δεν καλύπτεται",""),CONCATENATE(IF(NOT(ISNUMBER(H4)),U4,IF(H4&gt;H18,W4,"")),IF(J4&gt;J18,X4,""),IF(NOT(ISNUMBER(M4)),AA4,IF(M4&gt;M18,AB4,""))))</f>
        <v/>
      </c>
      <c r="U4" s="288" t="s">
        <v>570</v>
      </c>
      <c r="V4" s="288" t="s">
        <v>912</v>
      </c>
      <c r="W4" s="288"/>
      <c r="X4" s="288"/>
      <c r="Y4" s="288" t="s">
        <v>915</v>
      </c>
      <c r="Z4" s="288" t="s">
        <v>574</v>
      </c>
      <c r="AA4" s="288" t="s">
        <v>916</v>
      </c>
      <c r="AB4" s="259" t="s">
        <v>917</v>
      </c>
    </row>
    <row r="5" spans="1:28" ht="105" x14ac:dyDescent="0.25">
      <c r="A5" s="41" t="str">
        <f t="shared" si="0"/>
        <v>B07</v>
      </c>
      <c r="B5" s="38" t="str">
        <f t="shared" si="0"/>
        <v>CYTA</v>
      </c>
      <c r="C5" s="38" t="str">
        <f t="shared" si="1"/>
        <v>Άμεση</v>
      </c>
      <c r="D5" s="238">
        <f>IF(S5="",IF(ΓΕΝΙΚΑ!$B$22="ΝΑΙ",14666,""),"")</f>
        <v>14666</v>
      </c>
      <c r="E5" s="229" t="str">
        <f>IF(ΓΕΝΙΚΑ!$B$22="ΝΑΙ","Π. ΑΤΤΙΚΗΣ","")</f>
        <v>Π. ΑΤΤΙΚΗΣ</v>
      </c>
      <c r="F5" s="7" t="s">
        <v>40</v>
      </c>
      <c r="G5" s="7">
        <v>50</v>
      </c>
      <c r="H5" s="137">
        <v>62.71</v>
      </c>
      <c r="I5" s="256">
        <f t="shared" si="2"/>
        <v>62.71</v>
      </c>
      <c r="J5" s="137">
        <v>9.2899999999999991</v>
      </c>
      <c r="K5" s="256">
        <f t="shared" si="3"/>
        <v>9.2899999999999991</v>
      </c>
      <c r="L5" s="57">
        <f t="shared" si="4"/>
        <v>72</v>
      </c>
      <c r="M5" s="154">
        <v>5</v>
      </c>
      <c r="N5" s="312">
        <f t="shared" si="5"/>
        <v>5</v>
      </c>
      <c r="O5" s="273" t="str">
        <f t="shared" ref="O5:O30" si="8">O$3</f>
        <v xml:space="preserve">Μέσω Τηλεφώνου(13811-215 50 13811 - 13878- 215 5013878) ή Μέσω E-mail :techsupport@hq.cyta.gr  :Δευτέρα- Κυριακή &amp; αργίες:00:00-24:00. Οι χρεώσεις ορίζονται στον δείκτη Η01. 
</v>
      </c>
      <c r="P5" s="273" t="str">
        <f t="shared" si="6"/>
        <v>Οι συναντήσεις καθορίζονται ανάλογα με την κρισιμότητα του περιστατικού, τον χρόνο δήλωσης βλάβης και την διαθεσιμότητα του πελάτη.</v>
      </c>
      <c r="Q5" s="274" t="str">
        <f t="shared" si="6"/>
        <v>Oι αναφερόμενες ώρες δεν σχετίζονται με το μέσο χρόνο επιδιόρθωσης βλαβών. Ενδεικτικά, σε δείγμα 100 βλαβών με 1η βλάβη την ταχύτερα επιδιορθωμένη και 100η την βλάβη με το μεγαλύτερο χρόνο καθυστέρησης, βάσει του κανονισμού της ΕΕΤΤ, παρατίθενται οι χρόνοι για την 50η και 95η βλάβη αντίστοιχα, ώστε να φαίνονται ξεκάθαρα οι μέγιστοι χρόνοι  για αποκατάσταση μιας βλάβης. Στους ανωτέρω χρόνους προσμετράται και ο χρόνος ολοκλήρωσης επιβεβαίωσης της αποκατάστασης με τον πελάτη.</v>
      </c>
      <c r="S5" s="126" t="str">
        <f t="shared" si="7"/>
        <v/>
      </c>
      <c r="T5" s="198" t="str">
        <f>IF(ΠΕΡΙΦΕΡΕΙΑ!B3="Καθόλου",IF(OR(H5&lt;&gt;"",J5&lt;&gt;"",M5&lt;&gt;""),"Η περιφέρεια δεν καλύπτεται",""),CONCATENATE(IF(NOT(ISNUMBER(H5)),U5,IF(H5&gt;H19,W5,"")),IF(J5&gt;J19,X5,""),IF(NOT(ISNUMBER(M5)),AA5,IF(M5&gt;M19,AB5,""))))</f>
        <v/>
      </c>
      <c r="U5" s="288" t="s">
        <v>570</v>
      </c>
      <c r="V5" s="288" t="s">
        <v>912</v>
      </c>
      <c r="W5" s="288"/>
      <c r="X5" s="288"/>
      <c r="Y5" s="288" t="s">
        <v>915</v>
      </c>
      <c r="Z5" s="288" t="s">
        <v>574</v>
      </c>
      <c r="AA5" s="288" t="s">
        <v>916</v>
      </c>
      <c r="AB5" s="259" t="s">
        <v>917</v>
      </c>
    </row>
    <row r="6" spans="1:28" ht="105" x14ac:dyDescent="0.25">
      <c r="A6" s="41" t="str">
        <f t="shared" si="0"/>
        <v>B07</v>
      </c>
      <c r="B6" s="38" t="str">
        <f t="shared" si="0"/>
        <v>CYTA</v>
      </c>
      <c r="C6" s="38" t="str">
        <f t="shared" si="1"/>
        <v>Άμεση</v>
      </c>
      <c r="D6" s="224">
        <f>IF(S6="",IF(ΓΕΝΙΚΑ!$B$22="ΝΑΙ",14668,""),"")</f>
        <v>14668</v>
      </c>
      <c r="E6" s="228" t="str">
        <f>IF(ΓΕΝΙΚΑ!$B$22="ΝΑΙ","Π. ΒΟΡΕΙΟΥ ΑΙΓΑΙΟΥ","")</f>
        <v>Π. ΒΟΡΕΙΟΥ ΑΙΓΑΙΟΥ</v>
      </c>
      <c r="F6" s="7" t="s">
        <v>404</v>
      </c>
      <c r="G6" s="7">
        <v>50</v>
      </c>
      <c r="H6" s="137"/>
      <c r="I6" s="256" t="str">
        <f t="shared" si="2"/>
        <v/>
      </c>
      <c r="J6" s="137"/>
      <c r="K6" s="256" t="str">
        <f t="shared" si="3"/>
        <v/>
      </c>
      <c r="L6" s="57" t="str">
        <f t="shared" si="4"/>
        <v/>
      </c>
      <c r="M6" s="154"/>
      <c r="N6" s="312" t="str">
        <f t="shared" si="5"/>
        <v/>
      </c>
      <c r="O6" s="273" t="str">
        <f t="shared" si="8"/>
        <v xml:space="preserve">Μέσω Τηλεφώνου(13811-215 50 13811 - 13878- 215 5013878) ή Μέσω E-mail :techsupport@hq.cyta.gr  :Δευτέρα- Κυριακή &amp; αργίες:00:00-24:00. Οι χρεώσεις ορίζονται στον δείκτη Η01. 
</v>
      </c>
      <c r="P6" s="273" t="str">
        <f t="shared" si="6"/>
        <v>Οι συναντήσεις καθορίζονται ανάλογα με την κρισιμότητα του περιστατικού, τον χρόνο δήλωσης βλάβης και την διαθεσιμότητα του πελάτη.</v>
      </c>
      <c r="Q6" s="274" t="str">
        <f t="shared" si="6"/>
        <v>Oι αναφερόμενες ώρες δεν σχετίζονται με το μέσο χρόνο επιδιόρθωσης βλαβών. Ενδεικτικά, σε δείγμα 100 βλαβών με 1η βλάβη την ταχύτερα επιδιορθωμένη και 100η την βλάβη με το μεγαλύτερο χρόνο καθυστέρησης, βάσει του κανονισμού της ΕΕΤΤ, παρατίθενται οι χρόνοι για την 50η και 95η βλάβη αντίστοιχα, ώστε να φαίνονται ξεκάθαρα οι μέγιστοι χρόνοι  για αποκατάσταση μιας βλάβης. Στους ανωτέρω χρόνους προσμετράται και ο χρόνος ολοκλήρωσης επιβεβαίωσης της αποκατάστασης με τον πελάτη.</v>
      </c>
      <c r="S6" s="126" t="str">
        <f t="shared" si="7"/>
        <v/>
      </c>
      <c r="T6" s="198" t="str">
        <f>IF(ΠΕΡΙΦΕΡΕΙΑ!B4="Καθόλου",IF(OR(H6&lt;&gt;"",J6&lt;&gt;"",M6&lt;&gt;""),"Η περιφέρεια δεν καλύπτεται",""),CONCATENATE(IF(NOT(ISNUMBER(H6)),U6,IF(H6&gt;H20,W6,"")),IF(J6&gt;J20,X6,""),IF(NOT(ISNUMBER(M6)),AA6,IF(M6&gt;M20,AB6,""))))</f>
        <v/>
      </c>
      <c r="U6" s="288" t="s">
        <v>570</v>
      </c>
      <c r="V6" s="288" t="s">
        <v>912</v>
      </c>
      <c r="W6" s="288"/>
      <c r="X6" s="288"/>
      <c r="Y6" s="288" t="s">
        <v>915</v>
      </c>
      <c r="Z6" s="288" t="s">
        <v>574</v>
      </c>
      <c r="AA6" s="288" t="s">
        <v>916</v>
      </c>
      <c r="AB6" s="259" t="s">
        <v>917</v>
      </c>
    </row>
    <row r="7" spans="1:28" ht="105" x14ac:dyDescent="0.25">
      <c r="A7" s="41" t="str">
        <f t="shared" si="0"/>
        <v>B07</v>
      </c>
      <c r="B7" s="38" t="str">
        <f t="shared" si="0"/>
        <v>CYTA</v>
      </c>
      <c r="C7" s="38" t="str">
        <f t="shared" si="1"/>
        <v>Άμεση</v>
      </c>
      <c r="D7" s="238">
        <f>IF(S7="",IF(ΓΕΝΙΚΑ!$B$22="ΝΑΙ",14670,""),"")</f>
        <v>14670</v>
      </c>
      <c r="E7" s="229" t="str">
        <f>IF(ΓΕΝΙΚΑ!$B$22="ΝΑΙ","Π. ΔΥΤΙΚΗΣ ΕΛΛΑΔΑΣ","")</f>
        <v>Π. ΔΥΤΙΚΗΣ ΕΛΛΑΔΑΣ</v>
      </c>
      <c r="F7" s="7" t="s">
        <v>405</v>
      </c>
      <c r="G7" s="7">
        <v>50</v>
      </c>
      <c r="H7" s="137">
        <v>60.09</v>
      </c>
      <c r="I7" s="256">
        <f t="shared" si="2"/>
        <v>60.09</v>
      </c>
      <c r="J7" s="137">
        <v>11.91</v>
      </c>
      <c r="K7" s="256">
        <f t="shared" si="3"/>
        <v>11.91</v>
      </c>
      <c r="L7" s="57">
        <f t="shared" si="4"/>
        <v>72</v>
      </c>
      <c r="M7" s="154">
        <v>5</v>
      </c>
      <c r="N7" s="312">
        <f t="shared" si="5"/>
        <v>5</v>
      </c>
      <c r="O7" s="273" t="str">
        <f t="shared" si="8"/>
        <v xml:space="preserve">Μέσω Τηλεφώνου(13811-215 50 13811 - 13878- 215 5013878) ή Μέσω E-mail :techsupport@hq.cyta.gr  :Δευτέρα- Κυριακή &amp; αργίες:00:00-24:00. Οι χρεώσεις ορίζονται στον δείκτη Η01. 
</v>
      </c>
      <c r="P7" s="273" t="str">
        <f t="shared" si="6"/>
        <v>Οι συναντήσεις καθορίζονται ανάλογα με την κρισιμότητα του περιστατικού, τον χρόνο δήλωσης βλάβης και την διαθεσιμότητα του πελάτη.</v>
      </c>
      <c r="Q7" s="274" t="str">
        <f t="shared" si="6"/>
        <v>Oι αναφερόμενες ώρες δεν σχετίζονται με το μέσο χρόνο επιδιόρθωσης βλαβών. Ενδεικτικά, σε δείγμα 100 βλαβών με 1η βλάβη την ταχύτερα επιδιορθωμένη και 100η την βλάβη με το μεγαλύτερο χρόνο καθυστέρησης, βάσει του κανονισμού της ΕΕΤΤ, παρατίθενται οι χρόνοι για την 50η και 95η βλάβη αντίστοιχα, ώστε να φαίνονται ξεκάθαρα οι μέγιστοι χρόνοι  για αποκατάσταση μιας βλάβης. Στους ανωτέρω χρόνους προσμετράται και ο χρόνος ολοκλήρωσης επιβεβαίωσης της αποκατάστασης με τον πελάτη.</v>
      </c>
      <c r="S7" s="126" t="str">
        <f t="shared" si="7"/>
        <v/>
      </c>
      <c r="T7" s="198" t="str">
        <f>IF(ΠΕΡΙΦΕΡΕΙΑ!B5="Καθόλου",IF(OR(H7&lt;&gt;"",J7&lt;&gt;"",M7&lt;&gt;""),"Η περιφέρεια δεν καλύπτεται",""),CONCATENATE(IF(NOT(ISNUMBER(H7)),U7,IF(H7&gt;H21,W7,"")),IF(J7&gt;J21,X7,""),IF(NOT(ISNUMBER(M7)),AA7,IF(M7&gt;M21,AB7,""))))</f>
        <v/>
      </c>
      <c r="U7" s="288" t="s">
        <v>570</v>
      </c>
      <c r="V7" s="288" t="s">
        <v>912</v>
      </c>
      <c r="W7" s="288"/>
      <c r="X7" s="288"/>
      <c r="Y7" s="288" t="s">
        <v>915</v>
      </c>
      <c r="Z7" s="288" t="s">
        <v>574</v>
      </c>
      <c r="AA7" s="288" t="s">
        <v>916</v>
      </c>
      <c r="AB7" s="259" t="s">
        <v>917</v>
      </c>
    </row>
    <row r="8" spans="1:28" ht="105" x14ac:dyDescent="0.25">
      <c r="A8" s="41" t="str">
        <f t="shared" si="0"/>
        <v>B07</v>
      </c>
      <c r="B8" s="38" t="str">
        <f t="shared" si="0"/>
        <v>CYTA</v>
      </c>
      <c r="C8" s="38" t="str">
        <f t="shared" si="1"/>
        <v>Άμεση</v>
      </c>
      <c r="D8" s="224">
        <f>IF(S8="",IF(ΓΕΝΙΚΑ!$B$22="ΝΑΙ",14672,""),"")</f>
        <v>14672</v>
      </c>
      <c r="E8" s="228" t="str">
        <f>IF(ΓΕΝΙΚΑ!$B$22="ΝΑΙ","Π. ΔΥΤΙΚΗΣ ΜΑΚΕΔΟΝΙΑΣ","")</f>
        <v>Π. ΔΥΤΙΚΗΣ ΜΑΚΕΔΟΝΙΑΣ</v>
      </c>
      <c r="F8" s="7" t="s">
        <v>406</v>
      </c>
      <c r="G8" s="7">
        <v>50</v>
      </c>
      <c r="H8" s="137">
        <v>66.09</v>
      </c>
      <c r="I8" s="256">
        <f t="shared" si="2"/>
        <v>66.09</v>
      </c>
      <c r="J8" s="137">
        <v>5.91</v>
      </c>
      <c r="K8" s="256">
        <f t="shared" si="3"/>
        <v>5.91</v>
      </c>
      <c r="L8" s="57">
        <f t="shared" si="4"/>
        <v>72</v>
      </c>
      <c r="M8" s="154">
        <v>5</v>
      </c>
      <c r="N8" s="312">
        <f t="shared" si="5"/>
        <v>5</v>
      </c>
      <c r="O8" s="273" t="str">
        <f t="shared" si="8"/>
        <v xml:space="preserve">Μέσω Τηλεφώνου(13811-215 50 13811 - 13878- 215 5013878) ή Μέσω E-mail :techsupport@hq.cyta.gr  :Δευτέρα- Κυριακή &amp; αργίες:00:00-24:00. Οι χρεώσεις ορίζονται στον δείκτη Η01. 
</v>
      </c>
      <c r="P8" s="273" t="str">
        <f t="shared" si="6"/>
        <v>Οι συναντήσεις καθορίζονται ανάλογα με την κρισιμότητα του περιστατικού, τον χρόνο δήλωσης βλάβης και την διαθεσιμότητα του πελάτη.</v>
      </c>
      <c r="Q8" s="274" t="str">
        <f t="shared" si="6"/>
        <v>Oι αναφερόμενες ώρες δεν σχετίζονται με το μέσο χρόνο επιδιόρθωσης βλαβών. Ενδεικτικά, σε δείγμα 100 βλαβών με 1η βλάβη την ταχύτερα επιδιορθωμένη και 100η την βλάβη με το μεγαλύτερο χρόνο καθυστέρησης, βάσει του κανονισμού της ΕΕΤΤ, παρατίθενται οι χρόνοι για την 50η και 95η βλάβη αντίστοιχα, ώστε να φαίνονται ξεκάθαρα οι μέγιστοι χρόνοι  για αποκατάσταση μιας βλάβης. Στους ανωτέρω χρόνους προσμετράται και ο χρόνος ολοκλήρωσης επιβεβαίωσης της αποκατάστασης με τον πελάτη.</v>
      </c>
      <c r="S8" s="126" t="str">
        <f t="shared" si="7"/>
        <v/>
      </c>
      <c r="T8" s="198" t="str">
        <f>IF(ΠΕΡΙΦΕΡΕΙΑ!B6="Καθόλου",IF(OR(H8&lt;&gt;"",J8&lt;&gt;"",M8&lt;&gt;""),"Η περιφέρεια δεν καλύπτεται",""),CONCATENATE(IF(NOT(ISNUMBER(H8)),U8,IF(H8&gt;H22,W8,"")),IF(J8&gt;J22,X8,""),IF(NOT(ISNUMBER(M8)),AA8,IF(M8&gt;M22,AB8,""))))</f>
        <v/>
      </c>
      <c r="U8" s="288" t="s">
        <v>570</v>
      </c>
      <c r="V8" s="288" t="s">
        <v>912</v>
      </c>
      <c r="W8" s="288"/>
      <c r="X8" s="288"/>
      <c r="Y8" s="288" t="s">
        <v>915</v>
      </c>
      <c r="Z8" s="288" t="s">
        <v>574</v>
      </c>
      <c r="AA8" s="288" t="s">
        <v>916</v>
      </c>
      <c r="AB8" s="259" t="s">
        <v>917</v>
      </c>
    </row>
    <row r="9" spans="1:28" ht="105" x14ac:dyDescent="0.25">
      <c r="A9" s="41" t="str">
        <f t="shared" si="0"/>
        <v>B07</v>
      </c>
      <c r="B9" s="38" t="str">
        <f t="shared" si="0"/>
        <v>CYTA</v>
      </c>
      <c r="C9" s="38" t="str">
        <f t="shared" si="1"/>
        <v>Άμεση</v>
      </c>
      <c r="D9" s="238">
        <f>IF(S9="",IF(ΓΕΝΙΚΑ!$B$22="ΝΑΙ",14674,""),"")</f>
        <v>14674</v>
      </c>
      <c r="E9" s="229" t="str">
        <f>IF(ΓΕΝΙΚΑ!$B$22="ΝΑΙ","Π. ΗΠΕΙΡΟΥ","")</f>
        <v>Π. ΗΠΕΙΡΟΥ</v>
      </c>
      <c r="F9" s="7" t="s">
        <v>407</v>
      </c>
      <c r="G9" s="7">
        <v>50</v>
      </c>
      <c r="H9" s="137">
        <v>61.18</v>
      </c>
      <c r="I9" s="256">
        <f t="shared" si="2"/>
        <v>61.18</v>
      </c>
      <c r="J9" s="137">
        <v>10.82</v>
      </c>
      <c r="K9" s="256">
        <f t="shared" si="3"/>
        <v>10.82</v>
      </c>
      <c r="L9" s="57">
        <f t="shared" si="4"/>
        <v>72</v>
      </c>
      <c r="M9" s="154">
        <v>4</v>
      </c>
      <c r="N9" s="312">
        <f t="shared" si="5"/>
        <v>4</v>
      </c>
      <c r="O9" s="273" t="str">
        <f t="shared" si="8"/>
        <v xml:space="preserve">Μέσω Τηλεφώνου(13811-215 50 13811 - 13878- 215 5013878) ή Μέσω E-mail :techsupport@hq.cyta.gr  :Δευτέρα- Κυριακή &amp; αργίες:00:00-24:00. Οι χρεώσεις ορίζονται στον δείκτη Η01. 
</v>
      </c>
      <c r="P9" s="273" t="str">
        <f t="shared" si="6"/>
        <v>Οι συναντήσεις καθορίζονται ανάλογα με την κρισιμότητα του περιστατικού, τον χρόνο δήλωσης βλάβης και την διαθεσιμότητα του πελάτη.</v>
      </c>
      <c r="Q9" s="274" t="str">
        <f t="shared" si="6"/>
        <v>Oι αναφερόμενες ώρες δεν σχετίζονται με το μέσο χρόνο επιδιόρθωσης βλαβών. Ενδεικτικά, σε δείγμα 100 βλαβών με 1η βλάβη την ταχύτερα επιδιορθωμένη και 100η την βλάβη με το μεγαλύτερο χρόνο καθυστέρησης, βάσει του κανονισμού της ΕΕΤΤ, παρατίθενται οι χρόνοι για την 50η και 95η βλάβη αντίστοιχα, ώστε να φαίνονται ξεκάθαρα οι μέγιστοι χρόνοι  για αποκατάσταση μιας βλάβης. Στους ανωτέρω χρόνους προσμετράται και ο χρόνος ολοκλήρωσης επιβεβαίωσης της αποκατάστασης με τον πελάτη.</v>
      </c>
      <c r="S9" s="126" t="str">
        <f t="shared" si="7"/>
        <v/>
      </c>
      <c r="T9" s="198" t="str">
        <f>IF(ΠΕΡΙΦΕΡΕΙΑ!B7="Καθόλου",IF(OR(H9&lt;&gt;"",J9&lt;&gt;"",M9&lt;&gt;""),"Η περιφέρεια δεν καλύπτεται",""),CONCATENATE(IF(NOT(ISNUMBER(H9)),U9,IF(H9&gt;H23,W9,"")),IF(J9&gt;J23,X9,""),IF(NOT(ISNUMBER(M9)),AA9,IF(M9&gt;M23,AB9,""))))</f>
        <v/>
      </c>
      <c r="U9" s="288" t="s">
        <v>570</v>
      </c>
      <c r="V9" s="288" t="s">
        <v>912</v>
      </c>
      <c r="W9" s="288"/>
      <c r="X9" s="288"/>
      <c r="Y9" s="288" t="s">
        <v>915</v>
      </c>
      <c r="Z9" s="288" t="s">
        <v>574</v>
      </c>
      <c r="AA9" s="288" t="s">
        <v>916</v>
      </c>
      <c r="AB9" s="259" t="s">
        <v>917</v>
      </c>
    </row>
    <row r="10" spans="1:28" ht="105" x14ac:dyDescent="0.25">
      <c r="A10" s="41" t="str">
        <f t="shared" si="0"/>
        <v>B07</v>
      </c>
      <c r="B10" s="38" t="str">
        <f t="shared" si="0"/>
        <v>CYTA</v>
      </c>
      <c r="C10" s="38" t="str">
        <f t="shared" si="1"/>
        <v>Άμεση</v>
      </c>
      <c r="D10" s="224">
        <f>IF(S10="",IF(ΓΕΝΙΚΑ!$B$22="ΝΑΙ",14676,""),"")</f>
        <v>14676</v>
      </c>
      <c r="E10" s="228" t="str">
        <f>IF(ΓΕΝΙΚΑ!$B$22="ΝΑΙ","Π. ΘΕΣΣΑΛΙΑΣ","")</f>
        <v>Π. ΘΕΣΣΑΛΙΑΣ</v>
      </c>
      <c r="F10" s="7" t="s">
        <v>408</v>
      </c>
      <c r="G10" s="7">
        <v>50</v>
      </c>
      <c r="H10" s="137">
        <v>62.08</v>
      </c>
      <c r="I10" s="256">
        <f t="shared" si="2"/>
        <v>62.08</v>
      </c>
      <c r="J10" s="137">
        <v>9.92</v>
      </c>
      <c r="K10" s="256">
        <f t="shared" si="3"/>
        <v>9.92</v>
      </c>
      <c r="L10" s="57">
        <f t="shared" si="4"/>
        <v>72</v>
      </c>
      <c r="M10" s="154">
        <v>5</v>
      </c>
      <c r="N10" s="312">
        <f t="shared" si="5"/>
        <v>5</v>
      </c>
      <c r="O10" s="273" t="str">
        <f t="shared" si="8"/>
        <v xml:space="preserve">Μέσω Τηλεφώνου(13811-215 50 13811 - 13878- 215 5013878) ή Μέσω E-mail :techsupport@hq.cyta.gr  :Δευτέρα- Κυριακή &amp; αργίες:00:00-24:00. Οι χρεώσεις ορίζονται στον δείκτη Η01. 
</v>
      </c>
      <c r="P10" s="273" t="str">
        <f t="shared" si="6"/>
        <v>Οι συναντήσεις καθορίζονται ανάλογα με την κρισιμότητα του περιστατικού, τον χρόνο δήλωσης βλάβης και την διαθεσιμότητα του πελάτη.</v>
      </c>
      <c r="Q10" s="274" t="str">
        <f t="shared" si="6"/>
        <v>Oι αναφερόμενες ώρες δεν σχετίζονται με το μέσο χρόνο επιδιόρθωσης βλαβών. Ενδεικτικά, σε δείγμα 100 βλαβών με 1η βλάβη την ταχύτερα επιδιορθωμένη και 100η την βλάβη με το μεγαλύτερο χρόνο καθυστέρησης, βάσει του κανονισμού της ΕΕΤΤ, παρατίθενται οι χρόνοι για την 50η και 95η βλάβη αντίστοιχα, ώστε να φαίνονται ξεκάθαρα οι μέγιστοι χρόνοι  για αποκατάσταση μιας βλάβης. Στους ανωτέρω χρόνους προσμετράται και ο χρόνος ολοκλήρωσης επιβεβαίωσης της αποκατάστασης με τον πελάτη.</v>
      </c>
      <c r="S10" s="126" t="str">
        <f t="shared" si="7"/>
        <v/>
      </c>
      <c r="T10" s="198" t="str">
        <f>IF(ΠΕΡΙΦΕΡΕΙΑ!B8="Καθόλου",IF(OR(H10&lt;&gt;"",J10&lt;&gt;"",M10&lt;&gt;""),"Η περιφέρεια δεν καλύπτεται",""),CONCATENATE(IF(NOT(ISNUMBER(H10)),U10,IF(H10&gt;H24,W10,"")),IF(J10&gt;J24,X10,""),IF(NOT(ISNUMBER(M10)),AA10,IF(M10&gt;M24,AB10,""))))</f>
        <v/>
      </c>
      <c r="U10" s="288" t="s">
        <v>570</v>
      </c>
      <c r="V10" s="288" t="s">
        <v>912</v>
      </c>
      <c r="W10" s="288"/>
      <c r="X10" s="288"/>
      <c r="Y10" s="288" t="s">
        <v>915</v>
      </c>
      <c r="Z10" s="288" t="s">
        <v>574</v>
      </c>
      <c r="AA10" s="288" t="s">
        <v>916</v>
      </c>
      <c r="AB10" s="259" t="s">
        <v>917</v>
      </c>
    </row>
    <row r="11" spans="1:28" ht="105" x14ac:dyDescent="0.25">
      <c r="A11" s="41" t="str">
        <f t="shared" si="0"/>
        <v>B07</v>
      </c>
      <c r="B11" s="38" t="str">
        <f t="shared" si="0"/>
        <v>CYTA</v>
      </c>
      <c r="C11" s="38" t="str">
        <f t="shared" si="1"/>
        <v>Άμεση</v>
      </c>
      <c r="D11" s="238">
        <f>IF(S11="",IF(ΓΕΝΙΚΑ!$B$22="ΝΑΙ",14678,""),"")</f>
        <v>14678</v>
      </c>
      <c r="E11" s="229" t="str">
        <f>IF(ΓΕΝΙΚΑ!$B$22="ΝΑΙ","Π. ΙΟΝΙΩΝ ΝΗΣΩΝ","")</f>
        <v>Π. ΙΟΝΙΩΝ ΝΗΣΩΝ</v>
      </c>
      <c r="F11" s="7" t="s">
        <v>409</v>
      </c>
      <c r="G11" s="7">
        <v>50</v>
      </c>
      <c r="H11" s="137">
        <v>61.88</v>
      </c>
      <c r="I11" s="256">
        <f t="shared" si="2"/>
        <v>61.88</v>
      </c>
      <c r="J11" s="137">
        <v>10.119999999999999</v>
      </c>
      <c r="K11" s="256">
        <f t="shared" si="3"/>
        <v>10.119999999999999</v>
      </c>
      <c r="L11" s="57">
        <f t="shared" si="4"/>
        <v>72</v>
      </c>
      <c r="M11" s="154">
        <v>5</v>
      </c>
      <c r="N11" s="312">
        <f t="shared" si="5"/>
        <v>5</v>
      </c>
      <c r="O11" s="273" t="str">
        <f t="shared" si="8"/>
        <v xml:space="preserve">Μέσω Τηλεφώνου(13811-215 50 13811 - 13878- 215 5013878) ή Μέσω E-mail :techsupport@hq.cyta.gr  :Δευτέρα- Κυριακή &amp; αργίες:00:00-24:00. Οι χρεώσεις ορίζονται στον δείκτη Η01. 
</v>
      </c>
      <c r="P11" s="273" t="str">
        <f t="shared" si="6"/>
        <v>Οι συναντήσεις καθορίζονται ανάλογα με την κρισιμότητα του περιστατικού, τον χρόνο δήλωσης βλάβης και την διαθεσιμότητα του πελάτη.</v>
      </c>
      <c r="Q11" s="274" t="str">
        <f t="shared" si="6"/>
        <v>Oι αναφερόμενες ώρες δεν σχετίζονται με το μέσο χρόνο επιδιόρθωσης βλαβών. Ενδεικτικά, σε δείγμα 100 βλαβών με 1η βλάβη την ταχύτερα επιδιορθωμένη και 100η την βλάβη με το μεγαλύτερο χρόνο καθυστέρησης, βάσει του κανονισμού της ΕΕΤΤ, παρατίθενται οι χρόνοι για την 50η και 95η βλάβη αντίστοιχα, ώστε να φαίνονται ξεκάθαρα οι μέγιστοι χρόνοι  για αποκατάσταση μιας βλάβης. Στους ανωτέρω χρόνους προσμετράται και ο χρόνος ολοκλήρωσης επιβεβαίωσης της αποκατάστασης με τον πελάτη.</v>
      </c>
      <c r="S11" s="126" t="str">
        <f t="shared" si="7"/>
        <v/>
      </c>
      <c r="T11" s="198" t="str">
        <f>IF(ΠΕΡΙΦΕΡΕΙΑ!B9="Καθόλου",IF(OR(H11&lt;&gt;"",J11&lt;&gt;"",M11&lt;&gt;""),"Η περιφέρεια δεν καλύπτεται",""),CONCATENATE(IF(NOT(ISNUMBER(H11)),U11,IF(H11&gt;H25,W11,"")),IF(J11&gt;J25,X11,""),IF(NOT(ISNUMBER(M11)),AA11,IF(M11&gt;M25,AB11,""))))</f>
        <v/>
      </c>
      <c r="U11" s="288" t="s">
        <v>570</v>
      </c>
      <c r="V11" s="288" t="s">
        <v>912</v>
      </c>
      <c r="W11" s="288"/>
      <c r="X11" s="288"/>
      <c r="Y11" s="288" t="s">
        <v>915</v>
      </c>
      <c r="Z11" s="288" t="s">
        <v>574</v>
      </c>
      <c r="AA11" s="288" t="s">
        <v>916</v>
      </c>
      <c r="AB11" s="259" t="s">
        <v>917</v>
      </c>
    </row>
    <row r="12" spans="1:28" ht="105" x14ac:dyDescent="0.25">
      <c r="A12" s="41" t="str">
        <f t="shared" si="0"/>
        <v>B07</v>
      </c>
      <c r="B12" s="38" t="str">
        <f t="shared" si="0"/>
        <v>CYTA</v>
      </c>
      <c r="C12" s="38" t="str">
        <f t="shared" si="1"/>
        <v>Άμεση</v>
      </c>
      <c r="D12" s="224">
        <f>IF(S12="",IF(ΓΕΝΙΚΑ!$B$22="ΝΑΙ",14680,""),"")</f>
        <v>14680</v>
      </c>
      <c r="E12" s="228" t="str">
        <f>IF(ΓΕΝΙΚΑ!$B$22="ΝΑΙ","Π. ΚΕΝΤΡΙΚΗΣ ΜΑΚΕΔΟΝΙΑΣ","")</f>
        <v>Π. ΚΕΝΤΡΙΚΗΣ ΜΑΚΕΔΟΝΙΑΣ</v>
      </c>
      <c r="F12" s="7" t="s">
        <v>410</v>
      </c>
      <c r="G12" s="7">
        <v>50</v>
      </c>
      <c r="H12" s="137">
        <v>63.51</v>
      </c>
      <c r="I12" s="256">
        <f t="shared" si="2"/>
        <v>63.51</v>
      </c>
      <c r="J12" s="137">
        <v>8.49</v>
      </c>
      <c r="K12" s="256">
        <f t="shared" si="3"/>
        <v>8.49</v>
      </c>
      <c r="L12" s="57">
        <f t="shared" si="4"/>
        <v>72</v>
      </c>
      <c r="M12" s="154">
        <v>5</v>
      </c>
      <c r="N12" s="312">
        <f t="shared" si="5"/>
        <v>5</v>
      </c>
      <c r="O12" s="273" t="str">
        <f t="shared" si="8"/>
        <v xml:space="preserve">Μέσω Τηλεφώνου(13811-215 50 13811 - 13878- 215 5013878) ή Μέσω E-mail :techsupport@hq.cyta.gr  :Δευτέρα- Κυριακή &amp; αργίες:00:00-24:00. Οι χρεώσεις ορίζονται στον δείκτη Η01. 
</v>
      </c>
      <c r="P12" s="273" t="str">
        <f t="shared" si="6"/>
        <v>Οι συναντήσεις καθορίζονται ανάλογα με την κρισιμότητα του περιστατικού, τον χρόνο δήλωσης βλάβης και την διαθεσιμότητα του πελάτη.</v>
      </c>
      <c r="Q12" s="274" t="str">
        <f t="shared" si="6"/>
        <v>Oι αναφερόμενες ώρες δεν σχετίζονται με το μέσο χρόνο επιδιόρθωσης βλαβών. Ενδεικτικά, σε δείγμα 100 βλαβών με 1η βλάβη την ταχύτερα επιδιορθωμένη και 100η την βλάβη με το μεγαλύτερο χρόνο καθυστέρησης, βάσει του κανονισμού της ΕΕΤΤ, παρατίθενται οι χρόνοι για την 50η και 95η βλάβη αντίστοιχα, ώστε να φαίνονται ξεκάθαρα οι μέγιστοι χρόνοι  για αποκατάσταση μιας βλάβης. Στους ανωτέρω χρόνους προσμετράται και ο χρόνος ολοκλήρωσης επιβεβαίωσης της αποκατάστασης με τον πελάτη.</v>
      </c>
      <c r="S12" s="126" t="str">
        <f t="shared" si="7"/>
        <v/>
      </c>
      <c r="T12" s="198" t="str">
        <f>IF(ΠΕΡΙΦΕΡΕΙΑ!B10="Καθόλου",IF(OR(H12&lt;&gt;"",J12&lt;&gt;"",M12&lt;&gt;""),"Η περιφέρεια δεν καλύπτεται",""),CONCATENATE(IF(NOT(ISNUMBER(H12)),U12,IF(H12&gt;H26,W12,"")),IF(J12&gt;J26,X12,""),IF(NOT(ISNUMBER(M12)),AA12,IF(M12&gt;M26,AB12,""))))</f>
        <v/>
      </c>
      <c r="U12" s="288" t="s">
        <v>570</v>
      </c>
      <c r="V12" s="288" t="s">
        <v>912</v>
      </c>
      <c r="W12" s="288"/>
      <c r="X12" s="288"/>
      <c r="Y12" s="288" t="s">
        <v>915</v>
      </c>
      <c r="Z12" s="288" t="s">
        <v>574</v>
      </c>
      <c r="AA12" s="288" t="s">
        <v>916</v>
      </c>
      <c r="AB12" s="259" t="s">
        <v>917</v>
      </c>
    </row>
    <row r="13" spans="1:28" ht="105" x14ac:dyDescent="0.25">
      <c r="A13" s="41" t="str">
        <f t="shared" si="0"/>
        <v>B07</v>
      </c>
      <c r="B13" s="38" t="str">
        <f t="shared" si="0"/>
        <v>CYTA</v>
      </c>
      <c r="C13" s="38" t="str">
        <f t="shared" si="1"/>
        <v>Άμεση</v>
      </c>
      <c r="D13" s="238">
        <f>IF(S13="",IF(ΓΕΝΙΚΑ!$B$22="ΝΑΙ",14682,""),"")</f>
        <v>14682</v>
      </c>
      <c r="E13" s="229" t="str">
        <f>IF(ΓΕΝΙΚΑ!$B$22="ΝΑΙ","Π. ΚΡΗΤΗΣ","")</f>
        <v>Π. ΚΡΗΤΗΣ</v>
      </c>
      <c r="F13" s="7" t="s">
        <v>411</v>
      </c>
      <c r="G13" s="7">
        <v>50</v>
      </c>
      <c r="H13" s="137">
        <v>62.89</v>
      </c>
      <c r="I13" s="256">
        <f t="shared" si="2"/>
        <v>62.89</v>
      </c>
      <c r="J13" s="137">
        <v>9.11</v>
      </c>
      <c r="K13" s="256">
        <f t="shared" si="3"/>
        <v>9.11</v>
      </c>
      <c r="L13" s="57">
        <f t="shared" si="4"/>
        <v>72</v>
      </c>
      <c r="M13" s="154">
        <v>5</v>
      </c>
      <c r="N13" s="312">
        <f t="shared" si="5"/>
        <v>5</v>
      </c>
      <c r="O13" s="273" t="str">
        <f t="shared" si="8"/>
        <v xml:space="preserve">Μέσω Τηλεφώνου(13811-215 50 13811 - 13878- 215 5013878) ή Μέσω E-mail :techsupport@hq.cyta.gr  :Δευτέρα- Κυριακή &amp; αργίες:00:00-24:00. Οι χρεώσεις ορίζονται στον δείκτη Η01. 
</v>
      </c>
      <c r="P13" s="273" t="str">
        <f t="shared" si="6"/>
        <v>Οι συναντήσεις καθορίζονται ανάλογα με την κρισιμότητα του περιστατικού, τον χρόνο δήλωσης βλάβης και την διαθεσιμότητα του πελάτη.</v>
      </c>
      <c r="Q13" s="274" t="str">
        <f t="shared" si="6"/>
        <v>Oι αναφερόμενες ώρες δεν σχετίζονται με το μέσο χρόνο επιδιόρθωσης βλαβών. Ενδεικτικά, σε δείγμα 100 βλαβών με 1η βλάβη την ταχύτερα επιδιορθωμένη και 100η την βλάβη με το μεγαλύτερο χρόνο καθυστέρησης, βάσει του κανονισμού της ΕΕΤΤ, παρατίθενται οι χρόνοι για την 50η και 95η βλάβη αντίστοιχα, ώστε να φαίνονται ξεκάθαρα οι μέγιστοι χρόνοι  για αποκατάσταση μιας βλάβης. Στους ανωτέρω χρόνους προσμετράται και ο χρόνος ολοκλήρωσης επιβεβαίωσης της αποκατάστασης με τον πελάτη.</v>
      </c>
      <c r="S13" s="126" t="str">
        <f t="shared" si="7"/>
        <v/>
      </c>
      <c r="T13" s="198" t="str">
        <f>IF(ΠΕΡΙΦΕΡΕΙΑ!B11="Καθόλου",IF(OR(H13&lt;&gt;"",J13&lt;&gt;"",M13&lt;&gt;""),"Η περιφέρεια δεν καλύπτεται",""),CONCATENATE(IF(NOT(ISNUMBER(H13)),U13,IF(H13&gt;H27,W13,"")),IF(J13&gt;J27,X13,""),IF(NOT(ISNUMBER(M13)),AA13,IF(M13&gt;M27,AB13,""))))</f>
        <v/>
      </c>
      <c r="U13" s="288" t="s">
        <v>570</v>
      </c>
      <c r="V13" s="288" t="s">
        <v>912</v>
      </c>
      <c r="W13" s="288"/>
      <c r="X13" s="288"/>
      <c r="Y13" s="288" t="s">
        <v>915</v>
      </c>
      <c r="Z13" s="288" t="s">
        <v>574</v>
      </c>
      <c r="AA13" s="288" t="s">
        <v>916</v>
      </c>
      <c r="AB13" s="259" t="s">
        <v>917</v>
      </c>
    </row>
    <row r="14" spans="1:28" ht="105" x14ac:dyDescent="0.25">
      <c r="A14" s="41" t="str">
        <f t="shared" si="0"/>
        <v>B07</v>
      </c>
      <c r="B14" s="38" t="str">
        <f t="shared" si="0"/>
        <v>CYTA</v>
      </c>
      <c r="C14" s="38" t="str">
        <f t="shared" si="1"/>
        <v>Άμεση</v>
      </c>
      <c r="D14" s="224">
        <f>IF(S14="",IF(ΓΕΝΙΚΑ!$B$22="ΝΑΙ",14684,""),"")</f>
        <v>14684</v>
      </c>
      <c r="E14" s="228" t="str">
        <f>IF(ΓΕΝΙΚΑ!$B$22="ΝΑΙ","Π. ΝΟΤΙΟΥ ΑΙΓΑΙΟΥ","")</f>
        <v>Π. ΝΟΤΙΟΥ ΑΙΓΑΙΟΥ</v>
      </c>
      <c r="F14" s="7" t="s">
        <v>412</v>
      </c>
      <c r="G14" s="7">
        <v>50</v>
      </c>
      <c r="H14" s="137"/>
      <c r="I14" s="256" t="str">
        <f t="shared" si="2"/>
        <v/>
      </c>
      <c r="J14" s="137"/>
      <c r="K14" s="256" t="str">
        <f t="shared" si="3"/>
        <v/>
      </c>
      <c r="L14" s="57" t="str">
        <f t="shared" si="4"/>
        <v/>
      </c>
      <c r="M14" s="154"/>
      <c r="N14" s="312" t="str">
        <f t="shared" si="5"/>
        <v/>
      </c>
      <c r="O14" s="273" t="str">
        <f t="shared" si="8"/>
        <v xml:space="preserve">Μέσω Τηλεφώνου(13811-215 50 13811 - 13878- 215 5013878) ή Μέσω E-mail :techsupport@hq.cyta.gr  :Δευτέρα- Κυριακή &amp; αργίες:00:00-24:00. Οι χρεώσεις ορίζονται στον δείκτη Η01. 
</v>
      </c>
      <c r="P14" s="273" t="str">
        <f t="shared" si="6"/>
        <v>Οι συναντήσεις καθορίζονται ανάλογα με την κρισιμότητα του περιστατικού, τον χρόνο δήλωσης βλάβης και την διαθεσιμότητα του πελάτη.</v>
      </c>
      <c r="Q14" s="274" t="str">
        <f t="shared" si="6"/>
        <v>Oι αναφερόμενες ώρες δεν σχετίζονται με το μέσο χρόνο επιδιόρθωσης βλαβών. Ενδεικτικά, σε δείγμα 100 βλαβών με 1η βλάβη την ταχύτερα επιδιορθωμένη και 100η την βλάβη με το μεγαλύτερο χρόνο καθυστέρησης, βάσει του κανονισμού της ΕΕΤΤ, παρατίθενται οι χρόνοι για την 50η και 95η βλάβη αντίστοιχα, ώστε να φαίνονται ξεκάθαρα οι μέγιστοι χρόνοι  για αποκατάσταση μιας βλάβης. Στους ανωτέρω χρόνους προσμετράται και ο χρόνος ολοκλήρωσης επιβεβαίωσης της αποκατάστασης με τον πελάτη.</v>
      </c>
      <c r="S14" s="126" t="str">
        <f t="shared" si="7"/>
        <v/>
      </c>
      <c r="T14" s="198" t="str">
        <f>IF(ΠΕΡΙΦΕΡΕΙΑ!B12="Καθόλου",IF(OR(H14&lt;&gt;"",J14&lt;&gt;"",M14&lt;&gt;""),"Η περιφέρεια δεν καλύπτεται",""),CONCATENATE(IF(NOT(ISNUMBER(H14)),U14,IF(H14&gt;H28,W14,"")),IF(J14&gt;J28,X14,""),IF(NOT(ISNUMBER(M14)),AA14,IF(M14&gt;M28,AB14,""))))</f>
        <v/>
      </c>
      <c r="U14" s="288" t="s">
        <v>570</v>
      </c>
      <c r="V14" s="288" t="s">
        <v>912</v>
      </c>
      <c r="W14" s="288"/>
      <c r="X14" s="288"/>
      <c r="Y14" s="288" t="s">
        <v>915</v>
      </c>
      <c r="Z14" s="288" t="s">
        <v>574</v>
      </c>
      <c r="AA14" s="288" t="s">
        <v>916</v>
      </c>
      <c r="AB14" s="259" t="s">
        <v>917</v>
      </c>
    </row>
    <row r="15" spans="1:28" ht="105" x14ac:dyDescent="0.25">
      <c r="A15" s="41" t="str">
        <f t="shared" si="0"/>
        <v>B07</v>
      </c>
      <c r="B15" s="38" t="str">
        <f t="shared" si="0"/>
        <v>CYTA</v>
      </c>
      <c r="C15" s="38" t="str">
        <f t="shared" si="1"/>
        <v>Άμεση</v>
      </c>
      <c r="D15" s="238">
        <f>IF(S15="",IF(ΓΕΝΙΚΑ!$B$22="ΝΑΙ",14686,""),"")</f>
        <v>14686</v>
      </c>
      <c r="E15" s="229" t="str">
        <f>IF(ΓΕΝΙΚΑ!$B$22="ΝΑΙ","Π. ΠΕΛΟΠΟΝΝΗΣΟΥ","")</f>
        <v>Π. ΠΕΛΟΠΟΝΝΗΣΟΥ</v>
      </c>
      <c r="F15" s="7" t="s">
        <v>413</v>
      </c>
      <c r="G15" s="7">
        <v>50</v>
      </c>
      <c r="H15" s="137">
        <v>64.069999999999993</v>
      </c>
      <c r="I15" s="256">
        <f t="shared" si="2"/>
        <v>64.069999999999993</v>
      </c>
      <c r="J15" s="137">
        <v>7.93</v>
      </c>
      <c r="K15" s="256">
        <f t="shared" si="3"/>
        <v>7.93</v>
      </c>
      <c r="L15" s="57">
        <f t="shared" si="4"/>
        <v>72</v>
      </c>
      <c r="M15" s="154">
        <v>5</v>
      </c>
      <c r="N15" s="312">
        <f t="shared" si="5"/>
        <v>5</v>
      </c>
      <c r="O15" s="273" t="str">
        <f t="shared" si="8"/>
        <v xml:space="preserve">Μέσω Τηλεφώνου(13811-215 50 13811 - 13878- 215 5013878) ή Μέσω E-mail :techsupport@hq.cyta.gr  :Δευτέρα- Κυριακή &amp; αργίες:00:00-24:00. Οι χρεώσεις ορίζονται στον δείκτη Η01. 
</v>
      </c>
      <c r="P15" s="273" t="str">
        <f t="shared" si="6"/>
        <v>Οι συναντήσεις καθορίζονται ανάλογα με την κρισιμότητα του περιστατικού, τον χρόνο δήλωσης βλάβης και την διαθεσιμότητα του πελάτη.</v>
      </c>
      <c r="Q15" s="274" t="str">
        <f t="shared" si="6"/>
        <v>Oι αναφερόμενες ώρες δεν σχετίζονται με το μέσο χρόνο επιδιόρθωσης βλαβών. Ενδεικτικά, σε δείγμα 100 βλαβών με 1η βλάβη την ταχύτερα επιδιορθωμένη και 100η την βλάβη με το μεγαλύτερο χρόνο καθυστέρησης, βάσει του κανονισμού της ΕΕΤΤ, παρατίθενται οι χρόνοι για την 50η και 95η βλάβη αντίστοιχα, ώστε να φαίνονται ξεκάθαρα οι μέγιστοι χρόνοι  για αποκατάσταση μιας βλάβης. Στους ανωτέρω χρόνους προσμετράται και ο χρόνος ολοκλήρωσης επιβεβαίωσης της αποκατάστασης με τον πελάτη.</v>
      </c>
      <c r="S15" s="126" t="str">
        <f t="shared" si="7"/>
        <v/>
      </c>
      <c r="T15" s="198" t="str">
        <f>IF(ΠΕΡΙΦΕΡΕΙΑ!B13="Καθόλου",IF(OR(H15&lt;&gt;"",J15&lt;&gt;"",M15&lt;&gt;""),"Η περιφέρεια δεν καλύπτεται",""),CONCATENATE(IF(NOT(ISNUMBER(H15)),U15,IF(H15&gt;H29,W15,"")),IF(J15&gt;J29,X15,""),IF(NOT(ISNUMBER(M15)),AA15,IF(M15&gt;M29,AB15,""))))</f>
        <v/>
      </c>
      <c r="U15" s="288" t="s">
        <v>570</v>
      </c>
      <c r="V15" s="288" t="s">
        <v>912</v>
      </c>
      <c r="W15" s="288"/>
      <c r="X15" s="288"/>
      <c r="Y15" s="288" t="s">
        <v>915</v>
      </c>
      <c r="Z15" s="288" t="s">
        <v>574</v>
      </c>
      <c r="AA15" s="288" t="s">
        <v>916</v>
      </c>
      <c r="AB15" s="259" t="s">
        <v>917</v>
      </c>
    </row>
    <row r="16" spans="1:28" ht="105.75" thickBot="1" x14ac:dyDescent="0.3">
      <c r="A16" s="41" t="str">
        <f t="shared" si="0"/>
        <v>B07</v>
      </c>
      <c r="B16" s="38" t="str">
        <f t="shared" si="0"/>
        <v>CYTA</v>
      </c>
      <c r="C16" s="38" t="str">
        <f t="shared" si="1"/>
        <v>Άμεση</v>
      </c>
      <c r="D16" s="225">
        <f>IF(S16="",IF(ΓΕΝΙΚΑ!$B$22="ΝΑΙ",14688,""),"")</f>
        <v>14688</v>
      </c>
      <c r="E16" s="230" t="str">
        <f>IF(ΓΕΝΙΚΑ!$B$22="ΝΑΙ","Π. ΣΤΕΡΕΑΣ ΕΛΛΑΔΑΣ","")</f>
        <v>Π. ΣΤΕΡΕΑΣ ΕΛΛΑΔΑΣ</v>
      </c>
      <c r="F16" s="6" t="s">
        <v>414</v>
      </c>
      <c r="G16" s="6">
        <v>50</v>
      </c>
      <c r="H16" s="138">
        <v>62.71</v>
      </c>
      <c r="I16" s="256">
        <f t="shared" si="2"/>
        <v>62.71</v>
      </c>
      <c r="J16" s="138">
        <v>9.2899999999999991</v>
      </c>
      <c r="K16" s="256">
        <f t="shared" si="3"/>
        <v>9.2899999999999991</v>
      </c>
      <c r="L16" s="58">
        <f t="shared" si="4"/>
        <v>72</v>
      </c>
      <c r="M16" s="155">
        <v>5</v>
      </c>
      <c r="N16" s="312">
        <f t="shared" si="5"/>
        <v>5</v>
      </c>
      <c r="O16" s="273" t="str">
        <f t="shared" si="8"/>
        <v xml:space="preserve">Μέσω Τηλεφώνου(13811-215 50 13811 - 13878- 215 5013878) ή Μέσω E-mail :techsupport@hq.cyta.gr  :Δευτέρα- Κυριακή &amp; αργίες:00:00-24:00. Οι χρεώσεις ορίζονται στον δείκτη Η01. 
</v>
      </c>
      <c r="P16" s="273" t="str">
        <f t="shared" si="6"/>
        <v>Οι συναντήσεις καθορίζονται ανάλογα με την κρισιμότητα του περιστατικού, τον χρόνο δήλωσης βλάβης και την διαθεσιμότητα του πελάτη.</v>
      </c>
      <c r="Q16" s="274" t="str">
        <f t="shared" si="6"/>
        <v>Oι αναφερόμενες ώρες δεν σχετίζονται με το μέσο χρόνο επιδιόρθωσης βλαβών. Ενδεικτικά, σε δείγμα 100 βλαβών με 1η βλάβη την ταχύτερα επιδιορθωμένη και 100η την βλάβη με το μεγαλύτερο χρόνο καθυστέρησης, βάσει του κανονισμού της ΕΕΤΤ, παρατίθενται οι χρόνοι για την 50η και 95η βλάβη αντίστοιχα, ώστε να φαίνονται ξεκάθαρα οι μέγιστοι χρόνοι  για αποκατάσταση μιας βλάβης. Στους ανωτέρω χρόνους προσμετράται και ο χρόνος ολοκλήρωσης επιβεβαίωσης της αποκατάστασης με τον πελάτη.</v>
      </c>
      <c r="S16" s="126" t="str">
        <f t="shared" si="7"/>
        <v/>
      </c>
      <c r="T16" s="198" t="str">
        <f>IF(ΠΕΡΙΦΕΡΕΙΑ!B14="Καθόλου",IF(OR(H16&lt;&gt;"",J16&lt;&gt;"",M16&lt;&gt;""),"Η περιφέρεια δεν καλύπτεται",""),CONCATENATE(IF(NOT(ISNUMBER(H16)),U16,IF(H16&gt;H30,W16,"")),IF(J16&gt;J30,X16,""),IF(NOT(ISNUMBER(M16)),AA16,IF(M16&gt;M30,AB16,""))))</f>
        <v/>
      </c>
      <c r="U16" s="288" t="s">
        <v>570</v>
      </c>
      <c r="V16" s="288" t="s">
        <v>912</v>
      </c>
      <c r="W16" s="288"/>
      <c r="X16" s="288"/>
      <c r="Y16" s="288" t="s">
        <v>915</v>
      </c>
      <c r="Z16" s="288" t="s">
        <v>574</v>
      </c>
      <c r="AA16" s="288" t="s">
        <v>916</v>
      </c>
      <c r="AB16" s="259" t="s">
        <v>917</v>
      </c>
    </row>
    <row r="17" spans="1:28" ht="105" x14ac:dyDescent="0.25">
      <c r="A17" s="41" t="str">
        <f t="shared" si="0"/>
        <v>B07</v>
      </c>
      <c r="B17" s="38" t="str">
        <f t="shared" si="0"/>
        <v>CYTA</v>
      </c>
      <c r="C17" s="38" t="str">
        <f t="shared" si="1"/>
        <v>Άμεση</v>
      </c>
      <c r="D17" s="237">
        <f>IF(S17="",IF(ΓΕΝΙΚΑ!$B$22="ΝΑΙ",15300,""),"")</f>
        <v>15300</v>
      </c>
      <c r="E17" s="227" t="str">
        <f>IF(ΓΕΝΙΚΑ!$B$22="ΝΑΙ","ΠΑΝΕΛΛΑΔΙΚΑ","")</f>
        <v>ΠΑΝΕΛΛΑΔΙΚΑ</v>
      </c>
      <c r="F17" s="8" t="s">
        <v>552</v>
      </c>
      <c r="G17" s="5">
        <v>95</v>
      </c>
      <c r="H17" s="136">
        <v>203.63</v>
      </c>
      <c r="I17" s="256"/>
      <c r="J17" s="136">
        <v>66.37</v>
      </c>
      <c r="K17" s="256">
        <f t="shared" si="3"/>
        <v>66.37</v>
      </c>
      <c r="L17" s="56">
        <f t="shared" si="4"/>
        <v>270</v>
      </c>
      <c r="M17" s="156">
        <v>163</v>
      </c>
      <c r="N17" s="312">
        <f t="shared" si="5"/>
        <v>163</v>
      </c>
      <c r="O17" s="273" t="str">
        <f t="shared" si="8"/>
        <v xml:space="preserve">Μέσω Τηλεφώνου(13811-215 50 13811 - 13878- 215 5013878) ή Μέσω E-mail :techsupport@hq.cyta.gr  :Δευτέρα- Κυριακή &amp; αργίες:00:00-24:00. Οι χρεώσεις ορίζονται στον δείκτη Η01. 
</v>
      </c>
      <c r="P17" s="273" t="str">
        <f t="shared" si="6"/>
        <v>Οι συναντήσεις καθορίζονται ανάλογα με την κρισιμότητα του περιστατικού, τον χρόνο δήλωσης βλάβης και την διαθεσιμότητα του πελάτη.</v>
      </c>
      <c r="Q17" s="274" t="str">
        <f t="shared" si="6"/>
        <v>Oι αναφερόμενες ώρες δεν σχετίζονται με το μέσο χρόνο επιδιόρθωσης βλαβών. Ενδεικτικά, σε δείγμα 100 βλαβών με 1η βλάβη την ταχύτερα επιδιορθωμένη και 100η την βλάβη με το μεγαλύτερο χρόνο καθυστέρησης, βάσει του κανονισμού της ΕΕΤΤ, παρατίθενται οι χρόνοι για την 50η και 95η βλάβη αντίστοιχα, ώστε να φαίνονται ξεκάθαρα οι μέγιστοι χρόνοι  για αποκατάσταση μιας βλάβης. Στους ανωτέρω χρόνους προσμετράται και ο χρόνος ολοκλήρωσης επιβεβαίωσης της αποκατάστασης με τον πελάτη.</v>
      </c>
      <c r="S17" s="126" t="str">
        <f t="shared" si="7"/>
        <v/>
      </c>
      <c r="T17" s="198" t="str">
        <f>IF(L17="",U3,"")</f>
        <v/>
      </c>
      <c r="Y17" s="197"/>
      <c r="AA17" s="259"/>
      <c r="AB17" s="259"/>
    </row>
    <row r="18" spans="1:28" ht="105" x14ac:dyDescent="0.25">
      <c r="A18" s="41" t="str">
        <f t="shared" si="0"/>
        <v>B07</v>
      </c>
      <c r="B18" s="38" t="str">
        <f t="shared" si="0"/>
        <v>CYTA</v>
      </c>
      <c r="C18" s="38" t="str">
        <f t="shared" si="1"/>
        <v>Άμεση</v>
      </c>
      <c r="D18" s="224">
        <f>IF(S18="",IF(ΓΕΝΙΚΑ!$B$22="ΝΑΙ",14664,""),"")</f>
        <v>14664</v>
      </c>
      <c r="E18" s="228" t="str">
        <f>IF(ΓΕΝΙΚΑ!$B$22="ΝΑΙ","Π. ΑΝΑΤΟΛΙΚΗΣ ΜΑΚΕΔΟΝΙΑΣ - ΘΡΑΚΗΣ","")</f>
        <v>Π. ΑΝΑΤΟΛΙΚΗΣ ΜΑΚΕΔΟΝΙΑΣ - ΘΡΑΚΗΣ</v>
      </c>
      <c r="F18" s="7" t="s">
        <v>39</v>
      </c>
      <c r="G18" s="7">
        <v>95</v>
      </c>
      <c r="H18" s="137">
        <v>197.81</v>
      </c>
      <c r="I18" s="256">
        <f t="shared" si="2"/>
        <v>197.81</v>
      </c>
      <c r="J18" s="137">
        <v>70.19</v>
      </c>
      <c r="K18" s="256">
        <f t="shared" si="3"/>
        <v>70.19</v>
      </c>
      <c r="L18" s="57">
        <f t="shared" si="4"/>
        <v>268</v>
      </c>
      <c r="M18" s="154">
        <v>150</v>
      </c>
      <c r="N18" s="312">
        <f t="shared" si="5"/>
        <v>150</v>
      </c>
      <c r="O18" s="273" t="str">
        <f t="shared" si="8"/>
        <v xml:space="preserve">Μέσω Τηλεφώνου(13811-215 50 13811 - 13878- 215 5013878) ή Μέσω E-mail :techsupport@hq.cyta.gr  :Δευτέρα- Κυριακή &amp; αργίες:00:00-24:00. Οι χρεώσεις ορίζονται στον δείκτη Η01. 
</v>
      </c>
      <c r="P18" s="273" t="str">
        <f t="shared" si="6"/>
        <v>Οι συναντήσεις καθορίζονται ανάλογα με την κρισιμότητα του περιστατικού, τον χρόνο δήλωσης βλάβης και την διαθεσιμότητα του πελάτη.</v>
      </c>
      <c r="Q18" s="274" t="str">
        <f t="shared" si="6"/>
        <v>Oι αναφερόμενες ώρες δεν σχετίζονται με το μέσο χρόνο επιδιόρθωσης βλαβών. Ενδεικτικά, σε δείγμα 100 βλαβών με 1η βλάβη την ταχύτερα επιδιορθωμένη και 100η την βλάβη με το μεγαλύτερο χρόνο καθυστέρησης, βάσει του κανονισμού της ΕΕΤΤ, παρατίθενται οι χρόνοι για την 50η και 95η βλάβη αντίστοιχα, ώστε να φαίνονται ξεκάθαρα οι μέγιστοι χρόνοι  για αποκατάσταση μιας βλάβης. Στους ανωτέρω χρόνους προσμετράται και ο χρόνος ολοκλήρωσης επιβεβαίωσης της αποκατάστασης με τον πελάτη.</v>
      </c>
      <c r="S18" s="126" t="str">
        <f t="shared" si="7"/>
        <v/>
      </c>
      <c r="T18" s="198" t="str">
        <f>IF(AND(L18="",ΠΕΡΙΦΕΡΕΙΑ!B2&lt;&gt;"Καθόλου"),U4,IF(AND(ΠΕΡΙΦΕΡΕΙΑ!B2="Καθόλου",OR(H18&lt;&gt;"",J18&lt;&gt;"")),"Η περιφέρεια δεν καλύπτεται",""))</f>
        <v/>
      </c>
      <c r="Y18" s="197"/>
      <c r="AA18" s="259"/>
      <c r="AB18" s="259"/>
    </row>
    <row r="19" spans="1:28" ht="105" x14ac:dyDescent="0.25">
      <c r="A19" s="41" t="str">
        <f t="shared" si="0"/>
        <v>B07</v>
      </c>
      <c r="B19" s="38" t="str">
        <f t="shared" si="0"/>
        <v>CYTA</v>
      </c>
      <c r="C19" s="38" t="str">
        <f t="shared" si="1"/>
        <v>Άμεση</v>
      </c>
      <c r="D19" s="238">
        <f>IF(S19="",IF(ΓΕΝΙΚΑ!$B$22="ΝΑΙ",14666,""),"")</f>
        <v>14666</v>
      </c>
      <c r="E19" s="229" t="str">
        <f>IF(ΓΕΝΙΚΑ!$B$22="ΝΑΙ","Π. ΑΤΤΙΚΗΣ","")</f>
        <v>Π. ΑΤΤΙΚΗΣ</v>
      </c>
      <c r="F19" s="7" t="s">
        <v>40</v>
      </c>
      <c r="G19" s="7">
        <v>95</v>
      </c>
      <c r="H19" s="137">
        <v>196.24</v>
      </c>
      <c r="I19" s="256">
        <f t="shared" si="2"/>
        <v>196.24</v>
      </c>
      <c r="J19" s="137">
        <v>73.760000000000005</v>
      </c>
      <c r="K19" s="256">
        <f t="shared" si="3"/>
        <v>73.760000000000005</v>
      </c>
      <c r="L19" s="57">
        <f t="shared" si="4"/>
        <v>270</v>
      </c>
      <c r="M19" s="154">
        <v>163</v>
      </c>
      <c r="N19" s="312">
        <f t="shared" si="5"/>
        <v>163</v>
      </c>
      <c r="O19" s="273" t="str">
        <f t="shared" si="8"/>
        <v xml:space="preserve">Μέσω Τηλεφώνου(13811-215 50 13811 - 13878- 215 5013878) ή Μέσω E-mail :techsupport@hq.cyta.gr  :Δευτέρα- Κυριακή &amp; αργίες:00:00-24:00. Οι χρεώσεις ορίζονται στον δείκτη Η01. 
</v>
      </c>
      <c r="P19" s="273" t="str">
        <f t="shared" si="6"/>
        <v>Οι συναντήσεις καθορίζονται ανάλογα με την κρισιμότητα του περιστατικού, τον χρόνο δήλωσης βλάβης και την διαθεσιμότητα του πελάτη.</v>
      </c>
      <c r="Q19" s="274" t="str">
        <f t="shared" si="6"/>
        <v>Oι αναφερόμενες ώρες δεν σχετίζονται με το μέσο χρόνο επιδιόρθωσης βλαβών. Ενδεικτικά, σε δείγμα 100 βλαβών με 1η βλάβη την ταχύτερα επιδιορθωμένη και 100η την βλάβη με το μεγαλύτερο χρόνο καθυστέρησης, βάσει του κανονισμού της ΕΕΤΤ, παρατίθενται οι χρόνοι για την 50η και 95η βλάβη αντίστοιχα, ώστε να φαίνονται ξεκάθαρα οι μέγιστοι χρόνοι  για αποκατάσταση μιας βλάβης. Στους ανωτέρω χρόνους προσμετράται και ο χρόνος ολοκλήρωσης επιβεβαίωσης της αποκατάστασης με τον πελάτη.</v>
      </c>
      <c r="S19" s="126" t="str">
        <f t="shared" si="7"/>
        <v/>
      </c>
      <c r="T19" s="198" t="str">
        <f>IF(AND(L19="",ΠΕΡΙΦΕΡΕΙΑ!B3&lt;&gt;"Καθόλου"),U5,IF(AND(ΠΕΡΙΦΕΡΕΙΑ!B3="Καθόλου",OR(H19&lt;&gt;"",J19&lt;&gt;"")),"Η περιφέρεια δεν καλύπτεται",""))</f>
        <v/>
      </c>
      <c r="Y19" s="197"/>
      <c r="AA19" s="259"/>
      <c r="AB19" s="259"/>
    </row>
    <row r="20" spans="1:28" ht="105" x14ac:dyDescent="0.25">
      <c r="A20" s="41" t="str">
        <f t="shared" si="0"/>
        <v>B07</v>
      </c>
      <c r="B20" s="38" t="str">
        <f t="shared" si="0"/>
        <v>CYTA</v>
      </c>
      <c r="C20" s="38" t="str">
        <f t="shared" si="1"/>
        <v>Άμεση</v>
      </c>
      <c r="D20" s="224">
        <f>IF(S20="",IF(ΓΕΝΙΚΑ!$B$22="ΝΑΙ",14668,""),"")</f>
        <v>14668</v>
      </c>
      <c r="E20" s="228" t="str">
        <f>IF(ΓΕΝΙΚΑ!$B$22="ΝΑΙ","Π. ΒΟΡΕΙΟΥ ΑΙΓΑΙΟΥ","")</f>
        <v>Π. ΒΟΡΕΙΟΥ ΑΙΓΑΙΟΥ</v>
      </c>
      <c r="F20" s="7" t="s">
        <v>404</v>
      </c>
      <c r="G20" s="7">
        <v>95</v>
      </c>
      <c r="H20" s="137"/>
      <c r="I20" s="256" t="str">
        <f t="shared" si="2"/>
        <v/>
      </c>
      <c r="J20" s="137"/>
      <c r="K20" s="256" t="str">
        <f t="shared" si="3"/>
        <v/>
      </c>
      <c r="L20" s="57" t="str">
        <f t="shared" si="4"/>
        <v/>
      </c>
      <c r="M20" s="154"/>
      <c r="N20" s="312" t="str">
        <f t="shared" si="5"/>
        <v/>
      </c>
      <c r="O20" s="273" t="str">
        <f t="shared" si="8"/>
        <v xml:space="preserve">Μέσω Τηλεφώνου(13811-215 50 13811 - 13878- 215 5013878) ή Μέσω E-mail :techsupport@hq.cyta.gr  :Δευτέρα- Κυριακή &amp; αργίες:00:00-24:00. Οι χρεώσεις ορίζονται στον δείκτη Η01. 
</v>
      </c>
      <c r="P20" s="273" t="str">
        <f t="shared" si="6"/>
        <v>Οι συναντήσεις καθορίζονται ανάλογα με την κρισιμότητα του περιστατικού, τον χρόνο δήλωσης βλάβης και την διαθεσιμότητα του πελάτη.</v>
      </c>
      <c r="Q20" s="274" t="str">
        <f t="shared" si="6"/>
        <v>Oι αναφερόμενες ώρες δεν σχετίζονται με το μέσο χρόνο επιδιόρθωσης βλαβών. Ενδεικτικά, σε δείγμα 100 βλαβών με 1η βλάβη την ταχύτερα επιδιορθωμένη και 100η την βλάβη με το μεγαλύτερο χρόνο καθυστέρησης, βάσει του κανονισμού της ΕΕΤΤ, παρατίθενται οι χρόνοι για την 50η και 95η βλάβη αντίστοιχα, ώστε να φαίνονται ξεκάθαρα οι μέγιστοι χρόνοι  για αποκατάσταση μιας βλάβης. Στους ανωτέρω χρόνους προσμετράται και ο χρόνος ολοκλήρωσης επιβεβαίωσης της αποκατάστασης με τον πελάτη.</v>
      </c>
      <c r="S20" s="126" t="str">
        <f t="shared" si="7"/>
        <v/>
      </c>
      <c r="T20" s="198" t="str">
        <f>IF(AND(L20="",ΠΕΡΙΦΕΡΕΙΑ!B4&lt;&gt;"Καθόλου"),U6,IF(AND(ΠΕΡΙΦΕΡΕΙΑ!B4="Καθόλου",OR(H20&lt;&gt;"",J20&lt;&gt;"")),"Η περιφέρεια δεν καλύπτεται",""))</f>
        <v/>
      </c>
      <c r="Y20" s="197"/>
    </row>
    <row r="21" spans="1:28" ht="105" x14ac:dyDescent="0.25">
      <c r="A21" s="41" t="str">
        <f t="shared" si="0"/>
        <v>B07</v>
      </c>
      <c r="B21" s="38" t="str">
        <f t="shared" si="0"/>
        <v>CYTA</v>
      </c>
      <c r="C21" s="38" t="str">
        <f t="shared" si="1"/>
        <v>Άμεση</v>
      </c>
      <c r="D21" s="238">
        <f>IF(S21="",IF(ΓΕΝΙΚΑ!$B$22="ΝΑΙ",14670,""),"")</f>
        <v>14670</v>
      </c>
      <c r="E21" s="229" t="str">
        <f>IF(ΓΕΝΙΚΑ!$B$22="ΝΑΙ","Π. ΔΥΤΙΚΗΣ ΕΛΛΑΔΑΣ","")</f>
        <v>Π. ΔΥΤΙΚΗΣ ΕΛΛΑΔΑΣ</v>
      </c>
      <c r="F21" s="7" t="s">
        <v>405</v>
      </c>
      <c r="G21" s="7">
        <v>95</v>
      </c>
      <c r="H21" s="137">
        <v>191.17</v>
      </c>
      <c r="I21" s="256">
        <f t="shared" si="2"/>
        <v>191.17</v>
      </c>
      <c r="J21" s="137">
        <v>75.83</v>
      </c>
      <c r="K21" s="256">
        <f t="shared" si="3"/>
        <v>75.83</v>
      </c>
      <c r="L21" s="57">
        <f t="shared" si="4"/>
        <v>267</v>
      </c>
      <c r="M21" s="154">
        <v>160</v>
      </c>
      <c r="N21" s="312">
        <f t="shared" si="5"/>
        <v>160</v>
      </c>
      <c r="O21" s="273" t="str">
        <f t="shared" si="8"/>
        <v xml:space="preserve">Μέσω Τηλεφώνου(13811-215 50 13811 - 13878- 215 5013878) ή Μέσω E-mail :techsupport@hq.cyta.gr  :Δευτέρα- Κυριακή &amp; αργίες:00:00-24:00. Οι χρεώσεις ορίζονται στον δείκτη Η01. 
</v>
      </c>
      <c r="P21" s="273" t="str">
        <f t="shared" si="6"/>
        <v>Οι συναντήσεις καθορίζονται ανάλογα με την κρισιμότητα του περιστατικού, τον χρόνο δήλωσης βλάβης και την διαθεσιμότητα του πελάτη.</v>
      </c>
      <c r="Q21" s="274" t="str">
        <f t="shared" si="6"/>
        <v>Oι αναφερόμενες ώρες δεν σχετίζονται με το μέσο χρόνο επιδιόρθωσης βλαβών. Ενδεικτικά, σε δείγμα 100 βλαβών με 1η βλάβη την ταχύτερα επιδιορθωμένη και 100η την βλάβη με το μεγαλύτερο χρόνο καθυστέρησης, βάσει του κανονισμού της ΕΕΤΤ, παρατίθενται οι χρόνοι για την 50η και 95η βλάβη αντίστοιχα, ώστε να φαίνονται ξεκάθαρα οι μέγιστοι χρόνοι  για αποκατάσταση μιας βλάβης. Στους ανωτέρω χρόνους προσμετράται και ο χρόνος ολοκλήρωσης επιβεβαίωσης της αποκατάστασης με τον πελάτη.</v>
      </c>
      <c r="S21" s="126" t="str">
        <f t="shared" si="7"/>
        <v/>
      </c>
      <c r="T21" s="198" t="str">
        <f>IF(AND(L21="",ΠΕΡΙΦΕΡΕΙΑ!B5&lt;&gt;"Καθόλου"),U7,IF(AND(ΠΕΡΙΦΕΡΕΙΑ!B5="Καθόλου",OR(H21&lt;&gt;"",J21&lt;&gt;"")),"Η περιφέρεια δεν καλύπτεται",""))</f>
        <v/>
      </c>
      <c r="Y21" s="197"/>
    </row>
    <row r="22" spans="1:28" ht="105" x14ac:dyDescent="0.25">
      <c r="A22" s="41" t="str">
        <f t="shared" si="0"/>
        <v>B07</v>
      </c>
      <c r="B22" s="38" t="str">
        <f t="shared" si="0"/>
        <v>CYTA</v>
      </c>
      <c r="C22" s="38" t="str">
        <f t="shared" si="1"/>
        <v>Άμεση</v>
      </c>
      <c r="D22" s="224">
        <f>IF(S22="",IF(ΓΕΝΙΚΑ!$B$22="ΝΑΙ",14672,""),"")</f>
        <v>14672</v>
      </c>
      <c r="E22" s="228" t="str">
        <f>IF(ΓΕΝΙΚΑ!$B$22="ΝΑΙ","Π. ΔΥΤΙΚΗΣ ΜΑΚΕΔΟΝΙΑΣ","")</f>
        <v>Π. ΔΥΤΙΚΗΣ ΜΑΚΕΔΟΝΙΑΣ</v>
      </c>
      <c r="F22" s="7" t="s">
        <v>406</v>
      </c>
      <c r="G22" s="7">
        <v>95</v>
      </c>
      <c r="H22" s="137">
        <v>208.33</v>
      </c>
      <c r="I22" s="256">
        <f t="shared" si="2"/>
        <v>208.33</v>
      </c>
      <c r="J22" s="137">
        <v>61.67</v>
      </c>
      <c r="K22" s="256">
        <f t="shared" si="3"/>
        <v>61.67</v>
      </c>
      <c r="L22" s="57">
        <f t="shared" si="4"/>
        <v>270</v>
      </c>
      <c r="M22" s="154">
        <v>163</v>
      </c>
      <c r="N22" s="312">
        <f t="shared" si="5"/>
        <v>163</v>
      </c>
      <c r="O22" s="273" t="str">
        <f t="shared" si="8"/>
        <v xml:space="preserve">Μέσω Τηλεφώνου(13811-215 50 13811 - 13878- 215 5013878) ή Μέσω E-mail :techsupport@hq.cyta.gr  :Δευτέρα- Κυριακή &amp; αργίες:00:00-24:00. Οι χρεώσεις ορίζονται στον δείκτη Η01. 
</v>
      </c>
      <c r="P22" s="273" t="str">
        <f t="shared" si="6"/>
        <v>Οι συναντήσεις καθορίζονται ανάλογα με την κρισιμότητα του περιστατικού, τον χρόνο δήλωσης βλάβης και την διαθεσιμότητα του πελάτη.</v>
      </c>
      <c r="Q22" s="274" t="str">
        <f t="shared" si="6"/>
        <v>Oι αναφερόμενες ώρες δεν σχετίζονται με το μέσο χρόνο επιδιόρθωσης βλαβών. Ενδεικτικά, σε δείγμα 100 βλαβών με 1η βλάβη την ταχύτερα επιδιορθωμένη και 100η την βλάβη με το μεγαλύτερο χρόνο καθυστέρησης, βάσει του κανονισμού της ΕΕΤΤ, παρατίθενται οι χρόνοι για την 50η και 95η βλάβη αντίστοιχα, ώστε να φαίνονται ξεκάθαρα οι μέγιστοι χρόνοι  για αποκατάσταση μιας βλάβης. Στους ανωτέρω χρόνους προσμετράται και ο χρόνος ολοκλήρωσης επιβεβαίωσης της αποκατάστασης με τον πελάτη.</v>
      </c>
      <c r="S22" s="126" t="str">
        <f t="shared" si="7"/>
        <v/>
      </c>
      <c r="T22" s="198" t="str">
        <f>IF(AND(L22="",ΠΕΡΙΦΕΡΕΙΑ!B6&lt;&gt;"Καθόλου"),U8,IF(AND(ΠΕΡΙΦΕΡΕΙΑ!B6="Καθόλου",OR(H22&lt;&gt;"",J22&lt;&gt;"")),"Η περιφέρεια δεν καλύπτεται",""))</f>
        <v/>
      </c>
      <c r="Y22" s="197"/>
    </row>
    <row r="23" spans="1:28" ht="105" x14ac:dyDescent="0.25">
      <c r="A23" s="41" t="str">
        <f t="shared" si="0"/>
        <v>B07</v>
      </c>
      <c r="B23" s="38" t="str">
        <f t="shared" si="0"/>
        <v>CYTA</v>
      </c>
      <c r="C23" s="38" t="str">
        <f t="shared" si="1"/>
        <v>Άμεση</v>
      </c>
      <c r="D23" s="238">
        <f>IF(S23="",IF(ΓΕΝΙΚΑ!$B$22="ΝΑΙ",14674,""),"")</f>
        <v>14674</v>
      </c>
      <c r="E23" s="229" t="str">
        <f>IF(ΓΕΝΙΚΑ!$B$22="ΝΑΙ","Π. ΗΠΕΙΡΟΥ","")</f>
        <v>Π. ΗΠΕΙΡΟΥ</v>
      </c>
      <c r="F23" s="7" t="s">
        <v>407</v>
      </c>
      <c r="G23" s="7">
        <v>95</v>
      </c>
      <c r="H23" s="137">
        <v>212.44</v>
      </c>
      <c r="I23" s="256">
        <f t="shared" si="2"/>
        <v>212.44</v>
      </c>
      <c r="J23" s="137">
        <v>51.56</v>
      </c>
      <c r="K23" s="256">
        <f t="shared" si="3"/>
        <v>51.56</v>
      </c>
      <c r="L23" s="57">
        <f t="shared" si="4"/>
        <v>264</v>
      </c>
      <c r="M23" s="154">
        <v>162</v>
      </c>
      <c r="N23" s="312">
        <f t="shared" si="5"/>
        <v>162</v>
      </c>
      <c r="O23" s="273" t="str">
        <f t="shared" si="8"/>
        <v xml:space="preserve">Μέσω Τηλεφώνου(13811-215 50 13811 - 13878- 215 5013878) ή Μέσω E-mail :techsupport@hq.cyta.gr  :Δευτέρα- Κυριακή &amp; αργίες:00:00-24:00. Οι χρεώσεις ορίζονται στον δείκτη Η01. 
</v>
      </c>
      <c r="P23" s="273" t="str">
        <f t="shared" si="6"/>
        <v>Οι συναντήσεις καθορίζονται ανάλογα με την κρισιμότητα του περιστατικού, τον χρόνο δήλωσης βλάβης και την διαθεσιμότητα του πελάτη.</v>
      </c>
      <c r="Q23" s="274" t="str">
        <f t="shared" si="6"/>
        <v>Oι αναφερόμενες ώρες δεν σχετίζονται με το μέσο χρόνο επιδιόρθωσης βλαβών. Ενδεικτικά, σε δείγμα 100 βλαβών με 1η βλάβη την ταχύτερα επιδιορθωμένη και 100η την βλάβη με το μεγαλύτερο χρόνο καθυστέρησης, βάσει του κανονισμού της ΕΕΤΤ, παρατίθενται οι χρόνοι για την 50η και 95η βλάβη αντίστοιχα, ώστε να φαίνονται ξεκάθαρα οι μέγιστοι χρόνοι  για αποκατάσταση μιας βλάβης. Στους ανωτέρω χρόνους προσμετράται και ο χρόνος ολοκλήρωσης επιβεβαίωσης της αποκατάστασης με τον πελάτη.</v>
      </c>
      <c r="S23" s="126" t="str">
        <f t="shared" si="7"/>
        <v/>
      </c>
      <c r="T23" s="198" t="str">
        <f>IF(AND(L23="",ΠΕΡΙΦΕΡΕΙΑ!B7&lt;&gt;"Καθόλου"),U9,IF(AND(ΠΕΡΙΦΕΡΕΙΑ!B7="Καθόλου",OR(H23&lt;&gt;"",J23&lt;&gt;"")),"Η περιφέρεια δεν καλύπτεται",""))</f>
        <v/>
      </c>
      <c r="Y23" s="197"/>
    </row>
    <row r="24" spans="1:28" ht="105" x14ac:dyDescent="0.25">
      <c r="A24" s="41" t="str">
        <f t="shared" si="0"/>
        <v>B07</v>
      </c>
      <c r="B24" s="38" t="str">
        <f t="shared" si="0"/>
        <v>CYTA</v>
      </c>
      <c r="C24" s="38" t="str">
        <f t="shared" si="1"/>
        <v>Άμεση</v>
      </c>
      <c r="D24" s="224">
        <f>IF(S24="",IF(ΓΕΝΙΚΑ!$B$22="ΝΑΙ",14676,""),"")</f>
        <v>14676</v>
      </c>
      <c r="E24" s="228" t="str">
        <f>IF(ΓΕΝΙΚΑ!$B$22="ΝΑΙ","Π. ΘΕΣΣΑΛΙΑΣ","")</f>
        <v>Π. ΘΕΣΣΑΛΙΑΣ</v>
      </c>
      <c r="F24" s="7" t="s">
        <v>408</v>
      </c>
      <c r="G24" s="7">
        <v>95</v>
      </c>
      <c r="H24" s="137">
        <v>201.71</v>
      </c>
      <c r="I24" s="256">
        <f t="shared" si="2"/>
        <v>201.71</v>
      </c>
      <c r="J24" s="137">
        <v>64.290000000000006</v>
      </c>
      <c r="K24" s="256">
        <f t="shared" si="3"/>
        <v>64.290000000000006</v>
      </c>
      <c r="L24" s="57">
        <f t="shared" si="4"/>
        <v>266</v>
      </c>
      <c r="M24" s="154">
        <v>162</v>
      </c>
      <c r="N24" s="312">
        <f t="shared" si="5"/>
        <v>162</v>
      </c>
      <c r="O24" s="273" t="str">
        <f t="shared" si="8"/>
        <v xml:space="preserve">Μέσω Τηλεφώνου(13811-215 50 13811 - 13878- 215 5013878) ή Μέσω E-mail :techsupport@hq.cyta.gr  :Δευτέρα- Κυριακή &amp; αργίες:00:00-24:00. Οι χρεώσεις ορίζονται στον δείκτη Η01. 
</v>
      </c>
      <c r="P24" s="273" t="str">
        <f t="shared" si="6"/>
        <v>Οι συναντήσεις καθορίζονται ανάλογα με την κρισιμότητα του περιστατικού, τον χρόνο δήλωσης βλάβης και την διαθεσιμότητα του πελάτη.</v>
      </c>
      <c r="Q24" s="274" t="str">
        <f t="shared" si="6"/>
        <v>Oι αναφερόμενες ώρες δεν σχετίζονται με το μέσο χρόνο επιδιόρθωσης βλαβών. Ενδεικτικά, σε δείγμα 100 βλαβών με 1η βλάβη την ταχύτερα επιδιορθωμένη και 100η την βλάβη με το μεγαλύτερο χρόνο καθυστέρησης, βάσει του κανονισμού της ΕΕΤΤ, παρατίθενται οι χρόνοι για την 50η και 95η βλάβη αντίστοιχα, ώστε να φαίνονται ξεκάθαρα οι μέγιστοι χρόνοι  για αποκατάσταση μιας βλάβης. Στους ανωτέρω χρόνους προσμετράται και ο χρόνος ολοκλήρωσης επιβεβαίωσης της αποκατάστασης με τον πελάτη.</v>
      </c>
      <c r="S24" s="126" t="str">
        <f t="shared" si="7"/>
        <v/>
      </c>
      <c r="T24" s="198" t="str">
        <f>IF(AND(L24="",ΠΕΡΙΦΕΡΕΙΑ!B8&lt;&gt;"Καθόλου"),U10,IF(AND(ΠΕΡΙΦΕΡΕΙΑ!B8="Καθόλου",OR(H24&lt;&gt;"",J24&lt;&gt;"")),"Η περιφέρεια δεν καλύπτεται",""))</f>
        <v/>
      </c>
      <c r="Y24" s="197"/>
    </row>
    <row r="25" spans="1:28" ht="105" x14ac:dyDescent="0.25">
      <c r="A25" s="41" t="str">
        <f t="shared" si="0"/>
        <v>B07</v>
      </c>
      <c r="B25" s="38" t="str">
        <f t="shared" si="0"/>
        <v>CYTA</v>
      </c>
      <c r="C25" s="38" t="str">
        <f t="shared" si="1"/>
        <v>Άμεση</v>
      </c>
      <c r="D25" s="238">
        <f>IF(S25="",IF(ΓΕΝΙΚΑ!$B$22="ΝΑΙ",14678,""),"")</f>
        <v>14678</v>
      </c>
      <c r="E25" s="229" t="str">
        <f>IF(ΓΕΝΙΚΑ!$B$22="ΝΑΙ","Π. ΙΟΝΙΩΝ ΝΗΣΩΝ","")</f>
        <v>Π. ΙΟΝΙΩΝ ΝΗΣΩΝ</v>
      </c>
      <c r="F25" s="7" t="s">
        <v>409</v>
      </c>
      <c r="G25" s="7">
        <v>95</v>
      </c>
      <c r="H25" s="137">
        <v>192.67</v>
      </c>
      <c r="I25" s="256">
        <f t="shared" si="2"/>
        <v>192.67</v>
      </c>
      <c r="J25" s="137">
        <v>40.33</v>
      </c>
      <c r="K25" s="256">
        <f t="shared" si="3"/>
        <v>40.33</v>
      </c>
      <c r="L25" s="57">
        <f t="shared" si="4"/>
        <v>233</v>
      </c>
      <c r="M25" s="154">
        <v>150</v>
      </c>
      <c r="N25" s="312">
        <f t="shared" si="5"/>
        <v>150</v>
      </c>
      <c r="O25" s="273" t="str">
        <f t="shared" si="8"/>
        <v xml:space="preserve">Μέσω Τηλεφώνου(13811-215 50 13811 - 13878- 215 5013878) ή Μέσω E-mail :techsupport@hq.cyta.gr  :Δευτέρα- Κυριακή &amp; αργίες:00:00-24:00. Οι χρεώσεις ορίζονται στον δείκτη Η01. 
</v>
      </c>
      <c r="P25" s="273" t="str">
        <f t="shared" si="6"/>
        <v>Οι συναντήσεις καθορίζονται ανάλογα με την κρισιμότητα του περιστατικού, τον χρόνο δήλωσης βλάβης και την διαθεσιμότητα του πελάτη.</v>
      </c>
      <c r="Q25" s="274" t="str">
        <f t="shared" si="6"/>
        <v>Oι αναφερόμενες ώρες δεν σχετίζονται με το μέσο χρόνο επιδιόρθωσης βλαβών. Ενδεικτικά, σε δείγμα 100 βλαβών με 1η βλάβη την ταχύτερα επιδιορθωμένη και 100η την βλάβη με το μεγαλύτερο χρόνο καθυστέρησης, βάσει του κανονισμού της ΕΕΤΤ, παρατίθενται οι χρόνοι για την 50η και 95η βλάβη αντίστοιχα, ώστε να φαίνονται ξεκάθαρα οι μέγιστοι χρόνοι  για αποκατάσταση μιας βλάβης. Στους ανωτέρω χρόνους προσμετράται και ο χρόνος ολοκλήρωσης επιβεβαίωσης της αποκατάστασης με τον πελάτη.</v>
      </c>
      <c r="S25" s="126" t="str">
        <f t="shared" si="7"/>
        <v/>
      </c>
      <c r="T25" s="198" t="str">
        <f>IF(AND(L25="",ΠΕΡΙΦΕΡΕΙΑ!B9&lt;&gt;"Καθόλου"),U11,IF(AND(ΠΕΡΙΦΕΡΕΙΑ!B9="Καθόλου",OR(H25&lt;&gt;"",J25&lt;&gt;"")),"Η περιφέρεια δεν καλύπτεται",""))</f>
        <v/>
      </c>
      <c r="Y25" s="197"/>
    </row>
    <row r="26" spans="1:28" ht="105" x14ac:dyDescent="0.25">
      <c r="A26" s="41" t="str">
        <f t="shared" si="0"/>
        <v>B07</v>
      </c>
      <c r="B26" s="38" t="str">
        <f t="shared" si="0"/>
        <v>CYTA</v>
      </c>
      <c r="C26" s="38" t="str">
        <f t="shared" si="1"/>
        <v>Άμεση</v>
      </c>
      <c r="D26" s="224">
        <f>IF(S26="",IF(ΓΕΝΙΚΑ!$B$22="ΝΑΙ",14680,""),"")</f>
        <v>14680</v>
      </c>
      <c r="E26" s="228" t="str">
        <f>IF(ΓΕΝΙΚΑ!$B$22="ΝΑΙ","Π. ΚΕΝΤΡΙΚΗΣ ΜΑΚΕΔΟΝΙΑΣ","")</f>
        <v>Π. ΚΕΝΤΡΙΚΗΣ ΜΑΚΕΔΟΝΙΑΣ</v>
      </c>
      <c r="F26" s="7" t="s">
        <v>410</v>
      </c>
      <c r="G26" s="7">
        <v>95</v>
      </c>
      <c r="H26" s="137">
        <v>209.74</v>
      </c>
      <c r="I26" s="256">
        <f t="shared" si="2"/>
        <v>209.74</v>
      </c>
      <c r="J26" s="137">
        <v>59.26</v>
      </c>
      <c r="K26" s="256">
        <f t="shared" si="3"/>
        <v>59.26</v>
      </c>
      <c r="L26" s="57">
        <f t="shared" si="4"/>
        <v>269</v>
      </c>
      <c r="M26" s="154">
        <v>162</v>
      </c>
      <c r="N26" s="312">
        <f t="shared" si="5"/>
        <v>162</v>
      </c>
      <c r="O26" s="273" t="str">
        <f t="shared" si="8"/>
        <v xml:space="preserve">Μέσω Τηλεφώνου(13811-215 50 13811 - 13878- 215 5013878) ή Μέσω E-mail :techsupport@hq.cyta.gr  :Δευτέρα- Κυριακή &amp; αργίες:00:00-24:00. Οι χρεώσεις ορίζονται στον δείκτη Η01. 
</v>
      </c>
      <c r="P26" s="273" t="str">
        <f t="shared" si="6"/>
        <v>Οι συναντήσεις καθορίζονται ανάλογα με την κρισιμότητα του περιστατικού, τον χρόνο δήλωσης βλάβης και την διαθεσιμότητα του πελάτη.</v>
      </c>
      <c r="Q26" s="274" t="str">
        <f t="shared" si="6"/>
        <v>Oι αναφερόμενες ώρες δεν σχετίζονται με το μέσο χρόνο επιδιόρθωσης βλαβών. Ενδεικτικά, σε δείγμα 100 βλαβών με 1η βλάβη την ταχύτερα επιδιορθωμένη και 100η την βλάβη με το μεγαλύτερο χρόνο καθυστέρησης, βάσει του κανονισμού της ΕΕΤΤ, παρατίθενται οι χρόνοι για την 50η και 95η βλάβη αντίστοιχα, ώστε να φαίνονται ξεκάθαρα οι μέγιστοι χρόνοι  για αποκατάσταση μιας βλάβης. Στους ανωτέρω χρόνους προσμετράται και ο χρόνος ολοκλήρωσης επιβεβαίωσης της αποκατάστασης με τον πελάτη.</v>
      </c>
      <c r="S26" s="126" t="str">
        <f t="shared" si="7"/>
        <v/>
      </c>
      <c r="T26" s="198" t="str">
        <f>IF(AND(L26="",ΠΕΡΙΦΕΡΕΙΑ!B10&lt;&gt;"Καθόλου"),U12,IF(AND(ΠΕΡΙΦΕΡΕΙΑ!B10="Καθόλου",OR(H26&lt;&gt;"",J26&lt;&gt;"")),"Η περιφέρεια δεν καλύπτεται",""))</f>
        <v/>
      </c>
      <c r="Y26" s="197"/>
    </row>
    <row r="27" spans="1:28" ht="105" x14ac:dyDescent="0.25">
      <c r="A27" s="41" t="str">
        <f t="shared" si="0"/>
        <v>B07</v>
      </c>
      <c r="B27" s="38" t="str">
        <f t="shared" si="0"/>
        <v>CYTA</v>
      </c>
      <c r="C27" s="38" t="str">
        <f t="shared" si="1"/>
        <v>Άμεση</v>
      </c>
      <c r="D27" s="238">
        <f>IF(S27="",IF(ΓΕΝΙΚΑ!$B$22="ΝΑΙ",14682,""),"")</f>
        <v>14682</v>
      </c>
      <c r="E27" s="229" t="str">
        <f>IF(ΓΕΝΙΚΑ!$B$22="ΝΑΙ","Π. ΚΡΗΤΗΣ","")</f>
        <v>Π. ΚΡΗΤΗΣ</v>
      </c>
      <c r="F27" s="7" t="s">
        <v>411</v>
      </c>
      <c r="G27" s="7">
        <v>95</v>
      </c>
      <c r="H27" s="137">
        <v>207.51</v>
      </c>
      <c r="I27" s="256">
        <f t="shared" si="2"/>
        <v>207.51</v>
      </c>
      <c r="J27" s="137">
        <v>61.49</v>
      </c>
      <c r="K27" s="256">
        <f t="shared" si="3"/>
        <v>61.49</v>
      </c>
      <c r="L27" s="57">
        <f t="shared" si="4"/>
        <v>269</v>
      </c>
      <c r="M27" s="154">
        <v>162</v>
      </c>
      <c r="N27" s="312">
        <f t="shared" si="5"/>
        <v>162</v>
      </c>
      <c r="O27" s="273" t="str">
        <f t="shared" si="8"/>
        <v xml:space="preserve">Μέσω Τηλεφώνου(13811-215 50 13811 - 13878- 215 5013878) ή Μέσω E-mail :techsupport@hq.cyta.gr  :Δευτέρα- Κυριακή &amp; αργίες:00:00-24:00. Οι χρεώσεις ορίζονται στον δείκτη Η01. 
</v>
      </c>
      <c r="P27" s="273" t="str">
        <f t="shared" si="6"/>
        <v>Οι συναντήσεις καθορίζονται ανάλογα με την κρισιμότητα του περιστατικού, τον χρόνο δήλωσης βλάβης και την διαθεσιμότητα του πελάτη.</v>
      </c>
      <c r="Q27" s="274" t="str">
        <f t="shared" si="6"/>
        <v>Oι αναφερόμενες ώρες δεν σχετίζονται με το μέσο χρόνο επιδιόρθωσης βλαβών. Ενδεικτικά, σε δείγμα 100 βλαβών με 1η βλάβη την ταχύτερα επιδιορθωμένη και 100η την βλάβη με το μεγαλύτερο χρόνο καθυστέρησης, βάσει του κανονισμού της ΕΕΤΤ, παρατίθενται οι χρόνοι για την 50η και 95η βλάβη αντίστοιχα, ώστε να φαίνονται ξεκάθαρα οι μέγιστοι χρόνοι  για αποκατάσταση μιας βλάβης. Στους ανωτέρω χρόνους προσμετράται και ο χρόνος ολοκλήρωσης επιβεβαίωσης της αποκατάστασης με τον πελάτη.</v>
      </c>
      <c r="S27" s="126" t="str">
        <f t="shared" si="7"/>
        <v/>
      </c>
      <c r="T27" s="198" t="str">
        <f>IF(AND(L27="",ΠΕΡΙΦΕΡΕΙΑ!B11&lt;&gt;"Καθόλου"),U13,IF(AND(ΠΕΡΙΦΕΡΕΙΑ!B11="Καθόλου",OR(H27&lt;&gt;"",J27&lt;&gt;"")),"Η περιφέρεια δεν καλύπτεται",""))</f>
        <v/>
      </c>
      <c r="Y27" s="197"/>
    </row>
    <row r="28" spans="1:28" ht="105" x14ac:dyDescent="0.25">
      <c r="A28" s="41" t="str">
        <f t="shared" si="0"/>
        <v>B07</v>
      </c>
      <c r="B28" s="38" t="str">
        <f t="shared" si="0"/>
        <v>CYTA</v>
      </c>
      <c r="C28" s="38" t="str">
        <f t="shared" si="1"/>
        <v>Άμεση</v>
      </c>
      <c r="D28" s="224">
        <f>IF(S28="",IF(ΓΕΝΙΚΑ!$B$22="ΝΑΙ",14684,""),"")</f>
        <v>14684</v>
      </c>
      <c r="E28" s="228" t="str">
        <f>IF(ΓΕΝΙΚΑ!$B$22="ΝΑΙ","Π. ΝΟΤΙΟΥ ΑΙΓΑΙΟΥ","")</f>
        <v>Π. ΝΟΤΙΟΥ ΑΙΓΑΙΟΥ</v>
      </c>
      <c r="F28" s="7" t="s">
        <v>412</v>
      </c>
      <c r="G28" s="7">
        <v>95</v>
      </c>
      <c r="H28" s="137"/>
      <c r="I28" s="256" t="str">
        <f t="shared" si="2"/>
        <v/>
      </c>
      <c r="J28" s="137"/>
      <c r="K28" s="256" t="str">
        <f t="shared" si="3"/>
        <v/>
      </c>
      <c r="L28" s="57" t="str">
        <f t="shared" si="4"/>
        <v/>
      </c>
      <c r="M28" s="154"/>
      <c r="N28" s="312" t="str">
        <f t="shared" si="5"/>
        <v/>
      </c>
      <c r="O28" s="273" t="str">
        <f t="shared" si="8"/>
        <v xml:space="preserve">Μέσω Τηλεφώνου(13811-215 50 13811 - 13878- 215 5013878) ή Μέσω E-mail :techsupport@hq.cyta.gr  :Δευτέρα- Κυριακή &amp; αργίες:00:00-24:00. Οι χρεώσεις ορίζονται στον δείκτη Η01. 
</v>
      </c>
      <c r="P28" s="273" t="str">
        <f t="shared" si="6"/>
        <v>Οι συναντήσεις καθορίζονται ανάλογα με την κρισιμότητα του περιστατικού, τον χρόνο δήλωσης βλάβης και την διαθεσιμότητα του πελάτη.</v>
      </c>
      <c r="Q28" s="274" t="str">
        <f t="shared" si="6"/>
        <v>Oι αναφερόμενες ώρες δεν σχετίζονται με το μέσο χρόνο επιδιόρθωσης βλαβών. Ενδεικτικά, σε δείγμα 100 βλαβών με 1η βλάβη την ταχύτερα επιδιορθωμένη και 100η την βλάβη με το μεγαλύτερο χρόνο καθυστέρησης, βάσει του κανονισμού της ΕΕΤΤ, παρατίθενται οι χρόνοι για την 50η και 95η βλάβη αντίστοιχα, ώστε να φαίνονται ξεκάθαρα οι μέγιστοι χρόνοι  για αποκατάσταση μιας βλάβης. Στους ανωτέρω χρόνους προσμετράται και ο χρόνος ολοκλήρωσης επιβεβαίωσης της αποκατάστασης με τον πελάτη.</v>
      </c>
      <c r="S28" s="126" t="str">
        <f t="shared" si="7"/>
        <v/>
      </c>
      <c r="T28" s="198" t="str">
        <f>IF(AND(L28="",ΠΕΡΙΦΕΡΕΙΑ!B12&lt;&gt;"Καθόλου"),U14,IF(AND(ΠΕΡΙΦΕΡΕΙΑ!B12="Καθόλου",OR(H28&lt;&gt;"",J28&lt;&gt;"")),"Η περιφέρεια δεν καλύπτεται",""))</f>
        <v/>
      </c>
      <c r="Y28" s="197"/>
    </row>
    <row r="29" spans="1:28" ht="105" x14ac:dyDescent="0.25">
      <c r="A29" s="41" t="str">
        <f t="shared" si="0"/>
        <v>B07</v>
      </c>
      <c r="B29" s="38" t="str">
        <f t="shared" si="0"/>
        <v>CYTA</v>
      </c>
      <c r="C29" s="38" t="str">
        <f t="shared" si="1"/>
        <v>Άμεση</v>
      </c>
      <c r="D29" s="238">
        <f>IF(S29="",IF(ΓΕΝΙΚΑ!$B$22="ΝΑΙ",14686,""),"")</f>
        <v>14686</v>
      </c>
      <c r="E29" s="229" t="str">
        <f>IF(ΓΕΝΙΚΑ!$B$22="ΝΑΙ","Π. ΠΕΛΟΠΟΝΝΗΣΟΥ","")</f>
        <v>Π. ΠΕΛΟΠΟΝΝΗΣΟΥ</v>
      </c>
      <c r="F29" s="7" t="s">
        <v>413</v>
      </c>
      <c r="G29" s="7">
        <v>95</v>
      </c>
      <c r="H29" s="137">
        <v>194.1</v>
      </c>
      <c r="I29" s="256">
        <f t="shared" si="2"/>
        <v>194.1</v>
      </c>
      <c r="J29" s="137">
        <v>71.900000000000006</v>
      </c>
      <c r="K29" s="256">
        <f t="shared" si="3"/>
        <v>71.900000000000006</v>
      </c>
      <c r="L29" s="57">
        <f t="shared" si="4"/>
        <v>266</v>
      </c>
      <c r="M29" s="154">
        <v>147</v>
      </c>
      <c r="N29" s="312">
        <f t="shared" si="5"/>
        <v>147</v>
      </c>
      <c r="O29" s="273" t="str">
        <f t="shared" si="8"/>
        <v xml:space="preserve">Μέσω Τηλεφώνου(13811-215 50 13811 - 13878- 215 5013878) ή Μέσω E-mail :techsupport@hq.cyta.gr  :Δευτέρα- Κυριακή &amp; αργίες:00:00-24:00. Οι χρεώσεις ορίζονται στον δείκτη Η01. 
</v>
      </c>
      <c r="P29" s="273" t="str">
        <f t="shared" si="6"/>
        <v>Οι συναντήσεις καθορίζονται ανάλογα με την κρισιμότητα του περιστατικού, τον χρόνο δήλωσης βλάβης και την διαθεσιμότητα του πελάτη.</v>
      </c>
      <c r="Q29" s="274" t="str">
        <f t="shared" si="6"/>
        <v>Oι αναφερόμενες ώρες δεν σχετίζονται με το μέσο χρόνο επιδιόρθωσης βλαβών. Ενδεικτικά, σε δείγμα 100 βλαβών με 1η βλάβη την ταχύτερα επιδιορθωμένη και 100η την βλάβη με το μεγαλύτερο χρόνο καθυστέρησης, βάσει του κανονισμού της ΕΕΤΤ, παρατίθενται οι χρόνοι για την 50η και 95η βλάβη αντίστοιχα, ώστε να φαίνονται ξεκάθαρα οι μέγιστοι χρόνοι  για αποκατάσταση μιας βλάβης. Στους ανωτέρω χρόνους προσμετράται και ο χρόνος ολοκλήρωσης επιβεβαίωσης της αποκατάστασης με τον πελάτη.</v>
      </c>
      <c r="S29" s="126" t="str">
        <f t="shared" si="7"/>
        <v/>
      </c>
      <c r="T29" s="198" t="str">
        <f>IF(AND(L29="",ΠΕΡΙΦΕΡΕΙΑ!B13&lt;&gt;"Καθόλου"),U15,IF(AND(ΠΕΡΙΦΕΡΕΙΑ!B13="Καθόλου",OR(H29&lt;&gt;"",J29&lt;&gt;"")),"Η περιφέρεια δεν καλύπτεται",""))</f>
        <v/>
      </c>
      <c r="Y29" s="197"/>
    </row>
    <row r="30" spans="1:28" ht="105.75" thickBot="1" x14ac:dyDescent="0.3">
      <c r="A30" s="42" t="str">
        <f t="shared" si="0"/>
        <v>B07</v>
      </c>
      <c r="B30" s="43" t="str">
        <f t="shared" si="0"/>
        <v>CYTA</v>
      </c>
      <c r="C30" s="43" t="str">
        <f t="shared" si="1"/>
        <v>Άμεση</v>
      </c>
      <c r="D30" s="225">
        <f>IF(S30="",IF(ΓΕΝΙΚΑ!$B$22="ΝΑΙ",14688,""),"")</f>
        <v>14688</v>
      </c>
      <c r="E30" s="230" t="str">
        <f>IF(ΓΕΝΙΚΑ!$B$22="ΝΑΙ","Π. ΣΤΕΡΕΑΣ ΕΛΛΑΔΑΣ","")</f>
        <v>Π. ΣΤΕΡΕΑΣ ΕΛΛΑΔΑΣ</v>
      </c>
      <c r="F30" s="6" t="s">
        <v>414</v>
      </c>
      <c r="G30" s="6">
        <v>95</v>
      </c>
      <c r="H30" s="138">
        <v>190.61</v>
      </c>
      <c r="I30" s="256">
        <f t="shared" si="2"/>
        <v>190.61</v>
      </c>
      <c r="J30" s="138">
        <v>49.39</v>
      </c>
      <c r="K30" s="256">
        <f t="shared" si="3"/>
        <v>49.39</v>
      </c>
      <c r="L30" s="58">
        <f t="shared" si="4"/>
        <v>240</v>
      </c>
      <c r="M30" s="155">
        <v>156</v>
      </c>
      <c r="N30" s="312">
        <f t="shared" si="5"/>
        <v>156</v>
      </c>
      <c r="O30" s="275" t="str">
        <f t="shared" si="8"/>
        <v xml:space="preserve">Μέσω Τηλεφώνου(13811-215 50 13811 - 13878- 215 5013878) ή Μέσω E-mail :techsupport@hq.cyta.gr  :Δευτέρα- Κυριακή &amp; αργίες:00:00-24:00. Οι χρεώσεις ορίζονται στον δείκτη Η01. 
</v>
      </c>
      <c r="P30" s="275" t="str">
        <f t="shared" si="6"/>
        <v>Οι συναντήσεις καθορίζονται ανάλογα με την κρισιμότητα του περιστατικού, τον χρόνο δήλωσης βλάβης και την διαθεσιμότητα του πελάτη.</v>
      </c>
      <c r="Q30" s="276" t="str">
        <f t="shared" si="6"/>
        <v>Oι αναφερόμενες ώρες δεν σχετίζονται με το μέσο χρόνο επιδιόρθωσης βλαβών. Ενδεικτικά, σε δείγμα 100 βλαβών με 1η βλάβη την ταχύτερα επιδιορθωμένη και 100η την βλάβη με το μεγαλύτερο χρόνο καθυστέρησης, βάσει του κανονισμού της ΕΕΤΤ, παρατίθενται οι χρόνοι για την 50η και 95η βλάβη αντίστοιχα, ώστε να φαίνονται ξεκάθαρα οι μέγιστοι χρόνοι  για αποκατάσταση μιας βλάβης. Στους ανωτέρω χρόνους προσμετράται και ο χρόνος ολοκλήρωσης επιβεβαίωσης της αποκατάστασης με τον πελάτη.</v>
      </c>
      <c r="S30" s="127" t="str">
        <f t="shared" si="7"/>
        <v/>
      </c>
      <c r="T30" s="198" t="str">
        <f>IF(AND(L30="",ΠΕΡΙΦΕΡΕΙΑ!B14&lt;&gt;"Καθόλου"),U16,IF(AND(ΠΕΡΙΦΕΡΕΙΑ!B14="Καθόλου",OR(H30&lt;&gt;"",J30&lt;&gt;"")),"Η περιφέρεια δεν καλύπτεται",""))</f>
        <v/>
      </c>
      <c r="Y30" s="197"/>
    </row>
  </sheetData>
  <sheetProtection algorithmName="SHA-512" hashValue="SC2zU33JXLqg0XbAm3WwjytjPwN1yJICZL+UTkYT54tVXn18zmfnnnHFFnVGhXZcZNzBaNL0qmbkK3Kplsw90Q==" saltValue="T64h/30E14K5KQUnevSEnQ==" spinCount="100000" sheet="1" objects="1" scenarios="1" formatColumns="0" formatRows="0" selectLockedCells="1"/>
  <conditionalFormatting sqref="S3:S30">
    <cfRule type="cellIs" dxfId="1" priority="1" operator="equal">
      <formula>"ΣΦΑΛΜΑ"</formula>
    </cfRule>
  </conditionalFormatting>
  <dataValidations count="4">
    <dataValidation type="list" allowBlank="1" showInputMessage="1" showErrorMessage="1" sqref="C4:C30">
      <formula1>Serv_Type</formula1>
    </dataValidation>
    <dataValidation type="list" allowBlank="1" showInputMessage="1" showErrorMessage="1" sqref="G3:G30">
      <formula1>Percent.</formula1>
    </dataValidation>
    <dataValidation type="list" allowBlank="1" showInputMessage="1" showErrorMessage="1" sqref="C3">
      <formula1>ServiceType</formula1>
    </dataValidation>
    <dataValidation type="list" allowBlank="1" showInputMessage="1" showErrorMessage="1" sqref="F3:F16 F18:F30">
      <formula1>Perifereies.</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Y7"/>
  <sheetViews>
    <sheetView topLeftCell="A2" workbookViewId="0">
      <selection activeCell="J3" sqref="J3"/>
    </sheetView>
  </sheetViews>
  <sheetFormatPr defaultColWidth="0" defaultRowHeight="15" zeroHeight="1" x14ac:dyDescent="0.25"/>
  <cols>
    <col min="1" max="1" width="50" style="174" customWidth="1"/>
    <col min="2" max="2" width="23" style="174" hidden="1" customWidth="1"/>
    <col min="3" max="4" width="23" style="259" hidden="1" customWidth="1"/>
    <col min="5" max="5" width="23" style="174" hidden="1" customWidth="1"/>
    <col min="6" max="6" width="23" style="174" customWidth="1"/>
    <col min="7" max="7" width="35.85546875" style="174" customWidth="1"/>
    <col min="8" max="9" width="28.28515625" style="174" customWidth="1"/>
    <col min="10" max="10" width="69.42578125" style="174" customWidth="1"/>
    <col min="11" max="11" width="56" style="174" customWidth="1"/>
    <col min="12" max="12" width="35.28515625" style="174" customWidth="1"/>
    <col min="13" max="14" width="28.28515625" style="174" customWidth="1"/>
    <col min="15" max="15" width="37.28515625" style="174" customWidth="1"/>
    <col min="16" max="16" width="63.140625" style="174" customWidth="1"/>
    <col min="17" max="17" width="9.140625" style="174" customWidth="1"/>
    <col min="18" max="18" width="16.140625" style="174" customWidth="1"/>
    <col min="19" max="19" width="72.7109375" style="174" customWidth="1"/>
    <col min="20" max="20" width="14.140625" style="174" hidden="1" customWidth="1"/>
    <col min="21" max="16384" width="9.140625" style="174" hidden="1"/>
  </cols>
  <sheetData>
    <row r="1" spans="1:25" ht="15.75" hidden="1" thickBot="1" x14ac:dyDescent="0.3">
      <c r="A1" t="s">
        <v>502</v>
      </c>
      <c r="B1" t="s">
        <v>501</v>
      </c>
      <c r="C1" s="232" t="s">
        <v>900</v>
      </c>
      <c r="D1" s="232" t="s">
        <v>901</v>
      </c>
      <c r="E1" t="s">
        <v>506</v>
      </c>
      <c r="F1" s="2" t="s">
        <v>503</v>
      </c>
      <c r="G1" t="s">
        <v>536</v>
      </c>
      <c r="H1" t="s">
        <v>537</v>
      </c>
      <c r="I1" t="s">
        <v>538</v>
      </c>
      <c r="J1" t="s">
        <v>539</v>
      </c>
      <c r="K1" t="s">
        <v>540</v>
      </c>
      <c r="L1" t="s">
        <v>541</v>
      </c>
      <c r="M1" t="s">
        <v>542</v>
      </c>
      <c r="N1" t="s">
        <v>543</v>
      </c>
      <c r="O1" t="s">
        <v>544</v>
      </c>
      <c r="P1" t="s">
        <v>509</v>
      </c>
      <c r="R1" s="24" t="s">
        <v>516</v>
      </c>
      <c r="S1" s="24" t="s">
        <v>516</v>
      </c>
    </row>
    <row r="2" spans="1:25" ht="51" customHeight="1" thickBot="1" x14ac:dyDescent="0.3">
      <c r="A2" s="3" t="s">
        <v>422</v>
      </c>
      <c r="B2" s="4" t="s">
        <v>28</v>
      </c>
      <c r="C2" s="233"/>
      <c r="D2" s="233"/>
      <c r="E2" s="4" t="s">
        <v>545</v>
      </c>
      <c r="F2" s="4" t="s">
        <v>433</v>
      </c>
      <c r="G2" s="4" t="s">
        <v>566</v>
      </c>
      <c r="H2" s="4" t="s">
        <v>471</v>
      </c>
      <c r="I2" s="4" t="s">
        <v>472</v>
      </c>
      <c r="J2" s="4" t="s">
        <v>473</v>
      </c>
      <c r="K2" s="4" t="s">
        <v>474</v>
      </c>
      <c r="L2" s="189" t="s">
        <v>475</v>
      </c>
      <c r="M2" s="189" t="s">
        <v>476</v>
      </c>
      <c r="N2" s="189" t="s">
        <v>477</v>
      </c>
      <c r="O2" s="4" t="s">
        <v>482</v>
      </c>
      <c r="P2" s="22" t="s">
        <v>421</v>
      </c>
      <c r="R2" s="125" t="s">
        <v>452</v>
      </c>
      <c r="S2" s="107" t="s">
        <v>550</v>
      </c>
    </row>
    <row r="3" spans="1:25" ht="138" customHeight="1" thickTop="1" x14ac:dyDescent="0.25">
      <c r="A3" s="17" t="s">
        <v>478</v>
      </c>
      <c r="B3" s="262" t="str">
        <f>ΓΕΝΙΚΑ!C4</f>
        <v>CYTA</v>
      </c>
      <c r="C3" s="231">
        <f>IF(R3="",IF(ΓΕΝΙΚΑ!$B$23="ΝΑΙ",15300,""),"")</f>
        <v>15300</v>
      </c>
      <c r="D3" s="231" t="str">
        <f>IF(ΓΕΝΙΚΑ!$B$23="ΝΑΙ","ΠΑΝΕΛΛΑΔΙΚΑ","")</f>
        <v>ΠΑΝΕΛΛΑΔΙΚΑ</v>
      </c>
      <c r="E3" s="18" t="s">
        <v>552</v>
      </c>
      <c r="F3" s="159" t="s">
        <v>434</v>
      </c>
      <c r="G3" s="160">
        <v>42551</v>
      </c>
      <c r="H3" s="161"/>
      <c r="I3" s="161"/>
      <c r="J3" s="161" t="s">
        <v>950</v>
      </c>
      <c r="K3" s="161" t="s">
        <v>951</v>
      </c>
      <c r="L3" s="161"/>
      <c r="M3" s="161"/>
      <c r="N3" s="164"/>
      <c r="O3" s="164"/>
      <c r="P3" s="277"/>
      <c r="R3" s="126" t="str">
        <f>IF(S3="","","ΣΦΑΛΜΑ")</f>
        <v/>
      </c>
      <c r="S3" s="157" t="str">
        <f>CONCATENATE(IF(F3="","Πρέπει να συμπληρωθεί υποχρεωτικά ο τύπος υπηρεσίας",""),IF(AND(FALSE,Y3&lt;&gt;0),"Σφάλμα ημερομηνίας",""),)</f>
        <v/>
      </c>
      <c r="T3" s="174" t="str">
        <f>TEXT(G3,"ηη/ΜΜ/εεεε")</f>
        <v>30/06/2016</v>
      </c>
      <c r="U3" s="174">
        <f>VALUE(LEFT(T3,2))</f>
        <v>30</v>
      </c>
      <c r="V3" s="174">
        <f>VALUE(MID(T3,4,2))</f>
        <v>6</v>
      </c>
      <c r="W3" s="174">
        <f>VALUE(RIGHT(T3,4))</f>
        <v>2016</v>
      </c>
      <c r="X3" s="174">
        <f>IF(LEN((T3)=10),0,1)+IF(AND(U3&gt;0,U3&lt;32),0,1)+IF(AND(V3&gt;0,V3&lt;13),0,1)+IF(AND(W3&gt;2000,W3&lt;2030),0,1)</f>
        <v>0</v>
      </c>
      <c r="Y3" s="174">
        <f>IF(ISERR(X3),1,X3)</f>
        <v>0</v>
      </c>
    </row>
    <row r="4" spans="1:25" ht="75" customHeight="1" x14ac:dyDescent="0.25">
      <c r="A4" s="13" t="str">
        <f>A3</f>
        <v>B08</v>
      </c>
      <c r="B4" s="263" t="str">
        <f>B3</f>
        <v>CYTA</v>
      </c>
      <c r="C4" s="231">
        <f>IF(R4="",IF(ΓΕΝΙΚΑ!$B$23="ΝΑΙ",15300,""),"")</f>
        <v>15300</v>
      </c>
      <c r="D4" s="231" t="str">
        <f>IF(ΓΕΝΙΚΑ!$B$23="ΝΑΙ","ΠΑΝΕΛΛΑΔΙΚΑ","")</f>
        <v>ΠΑΝΕΛΛΑΔΙΚΑ</v>
      </c>
      <c r="E4" s="18" t="s">
        <v>552</v>
      </c>
      <c r="F4" s="53" t="str">
        <f>F3</f>
        <v>Άμεση</v>
      </c>
      <c r="G4" s="54">
        <f>G3</f>
        <v>42551</v>
      </c>
      <c r="H4" s="162"/>
      <c r="I4" s="162"/>
      <c r="J4" s="162"/>
      <c r="K4" s="162"/>
      <c r="L4" s="162"/>
      <c r="M4" s="162"/>
      <c r="N4" s="165"/>
      <c r="O4" s="167"/>
      <c r="P4" s="278"/>
      <c r="R4" s="126" t="str">
        <f t="shared" ref="R4:R7" si="0">IF(S4="","","ΣΦΑΛΜΑ")</f>
        <v/>
      </c>
      <c r="S4" s="158" t="str">
        <f t="shared" ref="S4:S7" si="1">CONCATENATE(IF(F4="","Πρέπει να συμπληρωθεί υποχρεωτικά ο τύπος υπηρεσίας",""),IF(AND(FALSE,Y4&lt;&gt;0),"Σφάλμα ημερομηνίας",""),)</f>
        <v/>
      </c>
      <c r="T4" s="174" t="str">
        <f t="shared" ref="T4:T7" si="2">TEXT(G4,"ηη/ΜΜ/εεεε")</f>
        <v>30/06/2016</v>
      </c>
      <c r="U4" s="259">
        <f t="shared" ref="U4:U7" si="3">VALUE(LEFT(T4,2))</f>
        <v>30</v>
      </c>
      <c r="V4" s="259">
        <f t="shared" ref="V4:V7" si="4">VALUE(MID(T4,4,2))</f>
        <v>6</v>
      </c>
      <c r="W4" s="259">
        <f t="shared" ref="W4:W7" si="5">VALUE(RIGHT(T4,4))</f>
        <v>2016</v>
      </c>
      <c r="X4" s="174">
        <f t="shared" ref="X4:X7" si="6">IF(LEN((T4)=10),0,1)+IF(AND(U4&gt;0,U4&lt;32),0,1)+IF(AND(V4&gt;0,V4&lt;13),0,1)+IF(AND(W4&gt;2000,W4&lt;2030),0,1)</f>
        <v>0</v>
      </c>
      <c r="Y4" s="174">
        <f t="shared" ref="Y4:Y7" si="7">IF(ISERR(X4),1,X4)</f>
        <v>0</v>
      </c>
    </row>
    <row r="5" spans="1:25" ht="75" customHeight="1" x14ac:dyDescent="0.25">
      <c r="A5" s="13" t="str">
        <f>A3</f>
        <v>B08</v>
      </c>
      <c r="B5" s="263" t="str">
        <f>B3</f>
        <v>CYTA</v>
      </c>
      <c r="C5" s="231">
        <f>IF(R5="",IF(ΓΕΝΙΚΑ!$B$23="ΝΑΙ",15300,""),"")</f>
        <v>15300</v>
      </c>
      <c r="D5" s="231" t="str">
        <f>IF(ΓΕΝΙΚΑ!$B$23="ΝΑΙ","ΠΑΝΕΛΛΑΔΙΚΑ","")</f>
        <v>ΠΑΝΕΛΛΑΔΙΚΑ</v>
      </c>
      <c r="E5" s="18" t="s">
        <v>552</v>
      </c>
      <c r="F5" s="53" t="str">
        <f>F3</f>
        <v>Άμεση</v>
      </c>
      <c r="G5" s="54">
        <f>G3</f>
        <v>42551</v>
      </c>
      <c r="H5" s="162"/>
      <c r="I5" s="162"/>
      <c r="J5" s="162"/>
      <c r="K5" s="162"/>
      <c r="L5" s="162"/>
      <c r="M5" s="162"/>
      <c r="N5" s="165"/>
      <c r="O5" s="167"/>
      <c r="P5" s="278"/>
      <c r="R5" s="126" t="str">
        <f t="shared" si="0"/>
        <v/>
      </c>
      <c r="S5" s="158" t="str">
        <f t="shared" si="1"/>
        <v/>
      </c>
      <c r="T5" s="174" t="str">
        <f t="shared" si="2"/>
        <v>30/06/2016</v>
      </c>
      <c r="U5" s="259">
        <f t="shared" si="3"/>
        <v>30</v>
      </c>
      <c r="V5" s="259">
        <f t="shared" si="4"/>
        <v>6</v>
      </c>
      <c r="W5" s="259">
        <f t="shared" si="5"/>
        <v>2016</v>
      </c>
      <c r="X5" s="174">
        <f t="shared" si="6"/>
        <v>0</v>
      </c>
      <c r="Y5" s="174">
        <f t="shared" si="7"/>
        <v>0</v>
      </c>
    </row>
    <row r="6" spans="1:25" ht="75" customHeight="1" x14ac:dyDescent="0.25">
      <c r="A6" s="13" t="str">
        <f>A3</f>
        <v>B08</v>
      </c>
      <c r="B6" s="263" t="str">
        <f>B3</f>
        <v>CYTA</v>
      </c>
      <c r="C6" s="231">
        <f>IF(R6="",IF(ΓΕΝΙΚΑ!$B$23="ΝΑΙ",15300,""),"")</f>
        <v>15300</v>
      </c>
      <c r="D6" s="231" t="str">
        <f>IF(ΓΕΝΙΚΑ!$B$23="ΝΑΙ","ΠΑΝΕΛΛΑΔΙΚΑ","")</f>
        <v>ΠΑΝΕΛΛΑΔΙΚΑ</v>
      </c>
      <c r="E6" s="18" t="s">
        <v>552</v>
      </c>
      <c r="F6" s="53" t="str">
        <f>F3</f>
        <v>Άμεση</v>
      </c>
      <c r="G6" s="54">
        <f>G3</f>
        <v>42551</v>
      </c>
      <c r="H6" s="162"/>
      <c r="I6" s="162"/>
      <c r="J6" s="162"/>
      <c r="K6" s="162"/>
      <c r="L6" s="162"/>
      <c r="M6" s="162"/>
      <c r="N6" s="165"/>
      <c r="O6" s="167"/>
      <c r="P6" s="278"/>
      <c r="R6" s="126" t="str">
        <f t="shared" si="0"/>
        <v/>
      </c>
      <c r="S6" s="158" t="str">
        <f t="shared" si="1"/>
        <v/>
      </c>
      <c r="T6" s="174" t="str">
        <f t="shared" si="2"/>
        <v>30/06/2016</v>
      </c>
      <c r="U6" s="259">
        <f t="shared" si="3"/>
        <v>30</v>
      </c>
      <c r="V6" s="259">
        <f t="shared" si="4"/>
        <v>6</v>
      </c>
      <c r="W6" s="259">
        <f t="shared" si="5"/>
        <v>2016</v>
      </c>
      <c r="X6" s="174">
        <f t="shared" si="6"/>
        <v>0</v>
      </c>
      <c r="Y6" s="174">
        <f t="shared" si="7"/>
        <v>0</v>
      </c>
    </row>
    <row r="7" spans="1:25" ht="75" customHeight="1" thickBot="1" x14ac:dyDescent="0.3">
      <c r="A7" s="15" t="str">
        <f>A3</f>
        <v>B08</v>
      </c>
      <c r="B7" s="264" t="str">
        <f>B3</f>
        <v>CYTA</v>
      </c>
      <c r="C7" s="231">
        <f>IF(R7="",IF(ΓΕΝΙΚΑ!$B$23="ΝΑΙ",15300,""),"")</f>
        <v>15300</v>
      </c>
      <c r="D7" s="231" t="str">
        <f>IF(ΓΕΝΙΚΑ!$B$23="ΝΑΙ","ΠΑΝΕΛΛΑΔΙΚΑ","")</f>
        <v>ΠΑΝΕΛΛΑΔΙΚΑ</v>
      </c>
      <c r="E7" s="18" t="s">
        <v>552</v>
      </c>
      <c r="F7" s="21" t="str">
        <f>F3</f>
        <v>Άμεση</v>
      </c>
      <c r="G7" s="55">
        <f>G3</f>
        <v>42551</v>
      </c>
      <c r="H7" s="163"/>
      <c r="I7" s="163"/>
      <c r="J7" s="163"/>
      <c r="K7" s="163"/>
      <c r="L7" s="163"/>
      <c r="M7" s="163"/>
      <c r="N7" s="166"/>
      <c r="O7" s="168"/>
      <c r="P7" s="279"/>
      <c r="R7" s="127" t="str">
        <f t="shared" si="0"/>
        <v/>
      </c>
      <c r="S7" s="152" t="str">
        <f t="shared" si="1"/>
        <v/>
      </c>
      <c r="T7" s="174" t="str">
        <f t="shared" si="2"/>
        <v>30/06/2016</v>
      </c>
      <c r="U7" s="259">
        <f t="shared" si="3"/>
        <v>30</v>
      </c>
      <c r="V7" s="259">
        <f t="shared" si="4"/>
        <v>6</v>
      </c>
      <c r="W7" s="259">
        <f t="shared" si="5"/>
        <v>2016</v>
      </c>
      <c r="X7" s="174">
        <f t="shared" si="6"/>
        <v>0</v>
      </c>
      <c r="Y7" s="174">
        <f t="shared" si="7"/>
        <v>0</v>
      </c>
    </row>
  </sheetData>
  <sheetProtection algorithmName="SHA-512" hashValue="k+RlbzL4gSEIlS6K2wYzoxaUEy/KNJYbS6EbR3MRfysg+5YZb5Q//cOj0QlMOxthkyXXSfYonfRHJnvMyhonsw==" saltValue="QDoIObar9JMxpaP51K6q/A==" spinCount="100000" sheet="1" objects="1" scenarios="1" formatColumns="0" formatRows="0" selectLockedCells="1"/>
  <conditionalFormatting sqref="R3:R7">
    <cfRule type="cellIs" dxfId="0" priority="1" operator="equal">
      <formula>"ΣΦΑΛΜΑ"</formula>
    </cfRule>
  </conditionalFormatting>
  <dataValidations count="1">
    <dataValidation type="list" allowBlank="1" showInputMessage="1" showErrorMessage="1" sqref="F3:F7">
      <formula1>ServiceType</formula1>
    </dataValidation>
  </dataValidation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R23"/>
  <sheetViews>
    <sheetView topLeftCell="J1" workbookViewId="0">
      <selection activeCell="R11" sqref="R11"/>
    </sheetView>
  </sheetViews>
  <sheetFormatPr defaultRowHeight="15" x14ac:dyDescent="0.25"/>
  <cols>
    <col min="1" max="1" width="28.140625" customWidth="1"/>
    <col min="2" max="3" width="21.85546875" customWidth="1"/>
    <col min="4" max="4" width="26.42578125" customWidth="1"/>
    <col min="5" max="5" width="26.28515625" customWidth="1"/>
    <col min="6" max="6" width="29.42578125" customWidth="1"/>
    <col min="7" max="7" width="19.85546875" customWidth="1"/>
    <col min="8" max="8" width="23.5703125" customWidth="1"/>
    <col min="9" max="9" width="14.5703125" bestFit="1" customWidth="1"/>
    <col min="10" max="10" width="25.7109375" customWidth="1"/>
    <col min="11" max="11" width="26.140625" customWidth="1"/>
    <col min="12" max="12" width="16.5703125" bestFit="1" customWidth="1"/>
    <col min="14" max="14" width="20.85546875" bestFit="1" customWidth="1"/>
    <col min="16" max="16" width="21.5703125" customWidth="1"/>
    <col min="17" max="17" width="16.7109375" customWidth="1"/>
    <col min="18" max="18" width="19.28515625" customWidth="1"/>
  </cols>
  <sheetData>
    <row r="2" spans="1:18" ht="30" x14ac:dyDescent="0.25">
      <c r="A2" t="s">
        <v>495</v>
      </c>
      <c r="B2" s="1" t="s">
        <v>0</v>
      </c>
      <c r="C2" s="1" t="s">
        <v>458</v>
      </c>
      <c r="D2" s="1" t="s">
        <v>3</v>
      </c>
      <c r="E2" s="1" t="s">
        <v>29</v>
      </c>
      <c r="F2" s="1" t="s">
        <v>34</v>
      </c>
      <c r="G2" s="1" t="s">
        <v>418</v>
      </c>
      <c r="H2" s="11" t="s">
        <v>451</v>
      </c>
      <c r="I2" s="1" t="s">
        <v>423</v>
      </c>
      <c r="J2" s="1" t="s">
        <v>520</v>
      </c>
      <c r="K2" s="1" t="s">
        <v>429</v>
      </c>
      <c r="L2" s="1" t="s">
        <v>433</v>
      </c>
      <c r="M2" s="1" t="s">
        <v>436</v>
      </c>
      <c r="N2" s="1" t="s">
        <v>439</v>
      </c>
      <c r="O2" s="1" t="s">
        <v>444</v>
      </c>
      <c r="P2" s="1" t="s">
        <v>483</v>
      </c>
      <c r="Q2" s="11" t="s">
        <v>931</v>
      </c>
      <c r="R2" s="11" t="s">
        <v>930</v>
      </c>
    </row>
    <row r="3" spans="1:18" x14ac:dyDescent="0.25">
      <c r="A3" t="s">
        <v>419</v>
      </c>
      <c r="B3" t="s">
        <v>4</v>
      </c>
      <c r="C3" t="s">
        <v>24</v>
      </c>
      <c r="D3" t="s">
        <v>5</v>
      </c>
      <c r="E3" t="s">
        <v>498</v>
      </c>
      <c r="F3" t="s">
        <v>35</v>
      </c>
      <c r="G3" t="s">
        <v>419</v>
      </c>
      <c r="H3" t="s">
        <v>419</v>
      </c>
      <c r="I3" t="s">
        <v>424</v>
      </c>
      <c r="J3">
        <v>5</v>
      </c>
      <c r="L3" t="s">
        <v>434</v>
      </c>
      <c r="M3" t="s">
        <v>437</v>
      </c>
      <c r="N3" t="s">
        <v>440</v>
      </c>
      <c r="O3" t="s">
        <v>445</v>
      </c>
      <c r="P3" t="s">
        <v>484</v>
      </c>
      <c r="Q3" s="303">
        <v>2</v>
      </c>
      <c r="R3" s="303">
        <v>0.5</v>
      </c>
    </row>
    <row r="4" spans="1:18" x14ac:dyDescent="0.25">
      <c r="A4" t="s">
        <v>420</v>
      </c>
      <c r="B4" t="s">
        <v>6</v>
      </c>
      <c r="C4" t="s">
        <v>2</v>
      </c>
      <c r="D4" t="s">
        <v>7</v>
      </c>
      <c r="E4" t="s">
        <v>30</v>
      </c>
      <c r="F4" t="s">
        <v>36</v>
      </c>
      <c r="G4" t="s">
        <v>420</v>
      </c>
      <c r="H4" t="s">
        <v>420</v>
      </c>
      <c r="I4" t="s">
        <v>425</v>
      </c>
      <c r="J4">
        <v>4</v>
      </c>
      <c r="K4" t="s">
        <v>430</v>
      </c>
      <c r="L4" t="s">
        <v>435</v>
      </c>
      <c r="M4" t="s">
        <v>438</v>
      </c>
      <c r="N4" t="s">
        <v>480</v>
      </c>
      <c r="O4" t="s">
        <v>446</v>
      </c>
      <c r="P4" t="s">
        <v>485</v>
      </c>
      <c r="Q4" s="303">
        <v>4</v>
      </c>
      <c r="R4" s="303">
        <v>1</v>
      </c>
    </row>
    <row r="5" spans="1:18" x14ac:dyDescent="0.25">
      <c r="B5" t="s">
        <v>8</v>
      </c>
      <c r="D5" t="s">
        <v>9</v>
      </c>
      <c r="E5" t="s">
        <v>932</v>
      </c>
      <c r="F5" t="s">
        <v>37</v>
      </c>
      <c r="I5" t="s">
        <v>426</v>
      </c>
      <c r="J5">
        <v>3</v>
      </c>
      <c r="K5" t="s">
        <v>431</v>
      </c>
      <c r="N5" t="s">
        <v>441</v>
      </c>
      <c r="Q5" s="303">
        <v>8</v>
      </c>
      <c r="R5" s="303">
        <v>2.5</v>
      </c>
    </row>
    <row r="6" spans="1:18" x14ac:dyDescent="0.25">
      <c r="B6" t="s">
        <v>10</v>
      </c>
      <c r="D6" t="s">
        <v>11</v>
      </c>
      <c r="E6" t="s">
        <v>31</v>
      </c>
      <c r="I6" t="s">
        <v>427</v>
      </c>
      <c r="J6">
        <v>2</v>
      </c>
      <c r="K6" t="s">
        <v>432</v>
      </c>
      <c r="N6" t="s">
        <v>481</v>
      </c>
      <c r="Q6" s="303">
        <v>16</v>
      </c>
      <c r="R6" s="303">
        <v>3</v>
      </c>
    </row>
    <row r="7" spans="1:18" x14ac:dyDescent="0.25">
      <c r="B7" t="s">
        <v>12</v>
      </c>
      <c r="E7" t="s">
        <v>927</v>
      </c>
      <c r="I7" t="s">
        <v>428</v>
      </c>
      <c r="J7">
        <v>1</v>
      </c>
      <c r="K7" t="s">
        <v>462</v>
      </c>
      <c r="Q7" s="303">
        <v>24</v>
      </c>
      <c r="R7" s="303">
        <v>5</v>
      </c>
    </row>
    <row r="8" spans="1:18" x14ac:dyDescent="0.25">
      <c r="B8" t="s">
        <v>13</v>
      </c>
      <c r="Q8" s="303">
        <v>30</v>
      </c>
      <c r="R8" s="303">
        <v>10</v>
      </c>
    </row>
    <row r="9" spans="1:18" x14ac:dyDescent="0.25">
      <c r="B9" t="s">
        <v>14</v>
      </c>
      <c r="Q9" s="303">
        <v>35</v>
      </c>
      <c r="R9" s="303"/>
    </row>
    <row r="10" spans="1:18" x14ac:dyDescent="0.25">
      <c r="B10" t="s">
        <v>15</v>
      </c>
      <c r="Q10" s="303">
        <v>50</v>
      </c>
      <c r="R10" s="303"/>
    </row>
    <row r="11" spans="1:18" x14ac:dyDescent="0.25">
      <c r="B11" t="s">
        <v>16</v>
      </c>
      <c r="Q11" s="303"/>
      <c r="R11" s="303"/>
    </row>
    <row r="12" spans="1:18" x14ac:dyDescent="0.25">
      <c r="B12" t="s">
        <v>17</v>
      </c>
      <c r="Q12" s="303"/>
      <c r="R12" s="303"/>
    </row>
    <row r="13" spans="1:18" x14ac:dyDescent="0.25">
      <c r="B13" t="s">
        <v>18</v>
      </c>
      <c r="Q13" s="303"/>
      <c r="R13" s="303"/>
    </row>
    <row r="14" spans="1:18" x14ac:dyDescent="0.25">
      <c r="B14" t="s">
        <v>19</v>
      </c>
    </row>
    <row r="15" spans="1:18" x14ac:dyDescent="0.25">
      <c r="B15" t="s">
        <v>20</v>
      </c>
    </row>
    <row r="16" spans="1:18" x14ac:dyDescent="0.25">
      <c r="B16" t="s">
        <v>21</v>
      </c>
    </row>
    <row r="17" spans="2:2" x14ac:dyDescent="0.25">
      <c r="B17" t="s">
        <v>22</v>
      </c>
    </row>
    <row r="18" spans="2:2" x14ac:dyDescent="0.25">
      <c r="B18" t="s">
        <v>23</v>
      </c>
    </row>
    <row r="19" spans="2:2" x14ac:dyDescent="0.25">
      <c r="B19" t="s">
        <v>24</v>
      </c>
    </row>
    <row r="20" spans="2:2" x14ac:dyDescent="0.25">
      <c r="B20" t="s">
        <v>2</v>
      </c>
    </row>
    <row r="21" spans="2:2" x14ac:dyDescent="0.25">
      <c r="B21" t="s">
        <v>25</v>
      </c>
    </row>
    <row r="22" spans="2:2" x14ac:dyDescent="0.25">
      <c r="B22" t="s">
        <v>26</v>
      </c>
    </row>
    <row r="23" spans="2:2" x14ac:dyDescent="0.25">
      <c r="B23"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E15"/>
  <sheetViews>
    <sheetView showGridLines="0" showRowColHeaders="0" workbookViewId="0">
      <selection activeCell="B14" sqref="B14"/>
    </sheetView>
  </sheetViews>
  <sheetFormatPr defaultRowHeight="15" x14ac:dyDescent="0.25"/>
  <cols>
    <col min="1" max="1" width="39.7109375" style="174" customWidth="1"/>
    <col min="2" max="2" width="20" style="174" customWidth="1"/>
    <col min="3" max="5" width="37.140625" style="174" hidden="1" customWidth="1"/>
    <col min="6" max="6" width="37.140625" style="174" customWidth="1"/>
    <col min="7" max="9" width="9.140625" style="174"/>
    <col min="10" max="14" width="37.140625" style="174" customWidth="1"/>
    <col min="15" max="16384" width="9.140625" style="174"/>
  </cols>
  <sheetData>
    <row r="1" spans="1:5" ht="15.75" thickBot="1" x14ac:dyDescent="0.3">
      <c r="A1" s="27" t="s">
        <v>32</v>
      </c>
      <c r="B1" s="28" t="s">
        <v>33</v>
      </c>
      <c r="C1" s="1" t="s">
        <v>36</v>
      </c>
      <c r="D1" s="1" t="s">
        <v>35</v>
      </c>
      <c r="E1" s="1" t="s">
        <v>37</v>
      </c>
    </row>
    <row r="2" spans="1:5" ht="16.5" thickTop="1" thickBot="1" x14ac:dyDescent="0.3">
      <c r="A2" s="29" t="s">
        <v>39</v>
      </c>
      <c r="B2" s="169" t="s">
        <v>35</v>
      </c>
      <c r="C2" t="str">
        <f t="shared" ref="C2:C14" si="0">IF(B2=$C$1,A2&amp;", ","")</f>
        <v/>
      </c>
      <c r="D2" t="str">
        <f t="shared" ref="D2:D14" si="1">IF(B2=$D$1,A2&amp;", ","")</f>
        <v xml:space="preserve">ΑΝΑΤΟΛΙΚΗΣ ΜΑΚΕΔΟΝΙΑΣ ΚΑΙ ΘΡΑΚΗΣ, </v>
      </c>
      <c r="E2" t="str">
        <f t="shared" ref="E2:E14" si="2">IF(B2=$E$1,A2&amp;", ","")</f>
        <v/>
      </c>
    </row>
    <row r="3" spans="1:5" ht="15.75" thickBot="1" x14ac:dyDescent="0.3">
      <c r="A3" s="30" t="s">
        <v>40</v>
      </c>
      <c r="B3" s="169" t="s">
        <v>35</v>
      </c>
      <c r="C3" t="str">
        <f t="shared" si="0"/>
        <v/>
      </c>
      <c r="D3" t="str">
        <f t="shared" si="1"/>
        <v xml:space="preserve">ΑΤΤΙΚΗΣ, </v>
      </c>
      <c r="E3" t="str">
        <f t="shared" si="2"/>
        <v/>
      </c>
    </row>
    <row r="4" spans="1:5" ht="15.75" thickBot="1" x14ac:dyDescent="0.3">
      <c r="A4" s="30" t="s">
        <v>404</v>
      </c>
      <c r="B4" s="169" t="s">
        <v>37</v>
      </c>
      <c r="C4" t="str">
        <f t="shared" si="0"/>
        <v/>
      </c>
      <c r="D4" t="str">
        <f t="shared" si="1"/>
        <v/>
      </c>
      <c r="E4" t="str">
        <f t="shared" si="2"/>
        <v xml:space="preserve">ΒΟΡΕΙΟΥ ΑΙΓΑΙΟΥ, </v>
      </c>
    </row>
    <row r="5" spans="1:5" ht="15.75" thickBot="1" x14ac:dyDescent="0.3">
      <c r="A5" s="30" t="s">
        <v>405</v>
      </c>
      <c r="B5" s="169" t="s">
        <v>35</v>
      </c>
      <c r="C5" t="str">
        <f t="shared" si="0"/>
        <v/>
      </c>
      <c r="D5" t="str">
        <f t="shared" si="1"/>
        <v xml:space="preserve">ΔΥΤΙΚΗΣ ΕΛΛΑΔΑΣ, </v>
      </c>
      <c r="E5" t="str">
        <f t="shared" si="2"/>
        <v/>
      </c>
    </row>
    <row r="6" spans="1:5" ht="15.75" thickBot="1" x14ac:dyDescent="0.3">
      <c r="A6" s="30" t="s">
        <v>406</v>
      </c>
      <c r="B6" s="169" t="s">
        <v>35</v>
      </c>
      <c r="C6" t="str">
        <f t="shared" si="0"/>
        <v/>
      </c>
      <c r="D6" t="str">
        <f t="shared" si="1"/>
        <v xml:space="preserve">ΔΥΤΙΚΗΣ ΜΑΚΕΔΟΝΙΑΣ, </v>
      </c>
      <c r="E6" t="str">
        <f t="shared" si="2"/>
        <v/>
      </c>
    </row>
    <row r="7" spans="1:5" ht="15.75" thickBot="1" x14ac:dyDescent="0.3">
      <c r="A7" s="30" t="s">
        <v>407</v>
      </c>
      <c r="B7" s="169" t="s">
        <v>35</v>
      </c>
      <c r="C7" t="str">
        <f t="shared" si="0"/>
        <v/>
      </c>
      <c r="D7" t="str">
        <f t="shared" si="1"/>
        <v xml:space="preserve">ΗΠΕΙΡΟΥ, </v>
      </c>
      <c r="E7" t="str">
        <f t="shared" si="2"/>
        <v/>
      </c>
    </row>
    <row r="8" spans="1:5" ht="15.75" thickBot="1" x14ac:dyDescent="0.3">
      <c r="A8" s="30" t="s">
        <v>408</v>
      </c>
      <c r="B8" s="169" t="s">
        <v>35</v>
      </c>
      <c r="C8" t="str">
        <f t="shared" si="0"/>
        <v/>
      </c>
      <c r="D8" t="str">
        <f t="shared" si="1"/>
        <v xml:space="preserve">ΘΕΣΣΑΛΙΑΣ, </v>
      </c>
      <c r="E8" t="str">
        <f t="shared" si="2"/>
        <v/>
      </c>
    </row>
    <row r="9" spans="1:5" ht="15.75" thickBot="1" x14ac:dyDescent="0.3">
      <c r="A9" s="30" t="s">
        <v>409</v>
      </c>
      <c r="B9" s="169" t="s">
        <v>35</v>
      </c>
      <c r="C9" t="str">
        <f t="shared" si="0"/>
        <v/>
      </c>
      <c r="D9" t="str">
        <f t="shared" si="1"/>
        <v xml:space="preserve">ΙΟΝΙΩΝ ΝΗΣΩΝ, </v>
      </c>
      <c r="E9" t="str">
        <f t="shared" si="2"/>
        <v/>
      </c>
    </row>
    <row r="10" spans="1:5" ht="15.75" thickBot="1" x14ac:dyDescent="0.3">
      <c r="A10" s="30" t="s">
        <v>410</v>
      </c>
      <c r="B10" s="169" t="s">
        <v>35</v>
      </c>
      <c r="C10" t="str">
        <f t="shared" si="0"/>
        <v/>
      </c>
      <c r="D10" t="str">
        <f t="shared" si="1"/>
        <v xml:space="preserve">ΚΕΝΤΡΙΚΗΣ ΜΑΚΕΔΟΝΙΑΣ, </v>
      </c>
      <c r="E10" t="str">
        <f t="shared" si="2"/>
        <v/>
      </c>
    </row>
    <row r="11" spans="1:5" ht="15.75" thickBot="1" x14ac:dyDescent="0.3">
      <c r="A11" s="30" t="s">
        <v>411</v>
      </c>
      <c r="B11" s="169" t="s">
        <v>35</v>
      </c>
      <c r="C11" t="str">
        <f t="shared" si="0"/>
        <v/>
      </c>
      <c r="D11" t="str">
        <f t="shared" si="1"/>
        <v xml:space="preserve">ΚΡΗΤΗΣ, </v>
      </c>
      <c r="E11" t="str">
        <f t="shared" si="2"/>
        <v/>
      </c>
    </row>
    <row r="12" spans="1:5" ht="15.75" thickBot="1" x14ac:dyDescent="0.3">
      <c r="A12" s="30" t="s">
        <v>412</v>
      </c>
      <c r="B12" s="169" t="s">
        <v>37</v>
      </c>
      <c r="C12" t="str">
        <f t="shared" si="0"/>
        <v/>
      </c>
      <c r="D12" t="str">
        <f t="shared" si="1"/>
        <v/>
      </c>
      <c r="E12" t="str">
        <f t="shared" si="2"/>
        <v xml:space="preserve">ΝΟΤΙΟΥ ΑΙΓΑΙΟΥ, </v>
      </c>
    </row>
    <row r="13" spans="1:5" ht="15.75" thickBot="1" x14ac:dyDescent="0.3">
      <c r="A13" s="30" t="s">
        <v>413</v>
      </c>
      <c r="B13" s="169" t="s">
        <v>35</v>
      </c>
      <c r="C13" t="str">
        <f t="shared" si="0"/>
        <v/>
      </c>
      <c r="D13" t="str">
        <f t="shared" si="1"/>
        <v xml:space="preserve">ΠΕΛΟΠΟΝΝΗΣΟΥ, </v>
      </c>
      <c r="E13" t="str">
        <f t="shared" si="2"/>
        <v/>
      </c>
    </row>
    <row r="14" spans="1:5" ht="15.75" thickBot="1" x14ac:dyDescent="0.3">
      <c r="A14" s="31" t="s">
        <v>414</v>
      </c>
      <c r="B14" s="169" t="s">
        <v>35</v>
      </c>
      <c r="C14" t="str">
        <f t="shared" si="0"/>
        <v/>
      </c>
      <c r="D14" t="str">
        <f t="shared" si="1"/>
        <v xml:space="preserve">ΣΤΕΡΕΑΣ ΕΛΛΑΔΑΣ, </v>
      </c>
      <c r="E14" t="str">
        <f t="shared" si="2"/>
        <v/>
      </c>
    </row>
    <row r="15" spans="1:5" x14ac:dyDescent="0.25">
      <c r="C15" s="174" t="str">
        <f>CONCATENATE(C2,C3,C4,C5,C6,C7,C8,C9,C10,C11,C12,C13,C14)</f>
        <v/>
      </c>
      <c r="D15" s="174" t="str">
        <f>CONCATENATE(D2,D3,D4,D5,D6,D7,D8,D9,D10,D11,D12,D13,D14)</f>
        <v xml:space="preserve">ΑΝΑΤΟΛΙΚΗΣ ΜΑΚΕΔΟΝΙΑΣ ΚΑΙ ΘΡΑΚΗΣ, ΑΤΤΙΚΗΣ, ΔΥΤΙΚΗΣ ΕΛΛΑΔΑΣ, ΔΥΤΙΚΗΣ ΜΑΚΕΔΟΝΙΑΣ, ΗΠΕΙΡΟΥ, ΘΕΣΣΑΛΙΑΣ, ΙΟΝΙΩΝ ΝΗΣΩΝ, ΚΕΝΤΡΙΚΗΣ ΜΑΚΕΔΟΝΙΑΣ, ΚΡΗΤΗΣ, ΠΕΛΟΠΟΝΝΗΣΟΥ, ΣΤΕΡΕΑΣ ΕΛΛΑΔΑΣ, </v>
      </c>
      <c r="E15" s="174" t="str">
        <f>CONCATENATE(E2,E3,E4,E5,E6,E7,E8,E9,E10,E11,E12,E13,E14)</f>
        <v xml:space="preserve">ΒΟΡΕΙΟΥ ΑΙΓΑΙΟΥ, ΝΟΤΙΟΥ ΑΙΓΑΙΟΥ, </v>
      </c>
    </row>
  </sheetData>
  <sheetProtection algorithmName="SHA-512" hashValue="s2dJggtK/+RTz64uJbw9OB9M8gAJcN7snt1BB9Y8g16anZ2PC/UDGCvBwYyWqBRMr+PMT5XB7Z24xPrD3z2cyg==" saltValue="/WodAAqQte0lUSVkjIC+xA==" spinCount="100000" sheet="1" objects="1" scenarios="1" selectLockedCells="1"/>
  <sortState ref="A2:A14">
    <sortCondition ref="A2"/>
  </sortState>
  <dataValidations count="1">
    <dataValidation type="list" allowBlank="1" showInputMessage="1" showErrorMessage="1" sqref="B2:B14">
      <formula1>Coverage.Type.</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1" operator="equal" id="{281CC3C0-E594-436C-A33E-03296D72D484}">
            <xm:f>Lists!$F$4</xm:f>
            <x14:dxf>
              <font>
                <color rgb="FF006100"/>
              </font>
              <fill>
                <patternFill>
                  <bgColor rgb="FFC6EFCE"/>
                </patternFill>
              </fill>
            </x14:dxf>
          </x14:cfRule>
          <x14:cfRule type="cellIs" priority="2" operator="equal" id="{09092A68-FC0B-4C50-9BC5-6348122B2B02}">
            <xm:f>Lists!$F$3</xm:f>
            <x14:dxf>
              <font>
                <color rgb="FF9C6500"/>
              </font>
              <fill>
                <patternFill>
                  <bgColor rgb="FFFFEB9C"/>
                </patternFill>
              </fill>
            </x14:dxf>
          </x14:cfRule>
          <x14:cfRule type="cellIs" priority="3" operator="equal" id="{9935E4AA-5B0E-49AD-A1D4-9F7A2E17FAC7}">
            <xm:f>Lists!$F$5</xm:f>
            <x14:dxf>
              <font>
                <color rgb="FF9C0006"/>
              </font>
              <fill>
                <patternFill>
                  <bgColor rgb="FFFFC7CE"/>
                </patternFill>
              </fill>
            </x14:dxf>
          </x14:cfRule>
          <xm:sqref>B1:B1048576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326"/>
  <sheetViews>
    <sheetView showGridLines="0" topLeftCell="J1" workbookViewId="0">
      <selection activeCell="L226" sqref="L226"/>
    </sheetView>
  </sheetViews>
  <sheetFormatPr defaultColWidth="0" defaultRowHeight="15" zeroHeight="1" x14ac:dyDescent="0.25"/>
  <cols>
    <col min="1" max="1" width="9.140625" style="84" hidden="1" customWidth="1"/>
    <col min="2" max="4" width="37.140625" style="84" hidden="1" customWidth="1"/>
    <col min="5" max="5" width="32.85546875" style="84" hidden="1" customWidth="1"/>
    <col min="6" max="6" width="6" style="84" hidden="1" customWidth="1"/>
    <col min="7" max="7" width="24" style="84" hidden="1" customWidth="1"/>
    <col min="8" max="8" width="26.7109375" style="84" hidden="1" customWidth="1"/>
    <col min="9" max="9" width="9.140625" style="84" hidden="1" customWidth="1"/>
    <col min="10" max="10" width="20.85546875" style="174" bestFit="1" customWidth="1"/>
    <col min="11" max="11" width="34.140625" style="174" customWidth="1"/>
    <col min="12" max="12" width="16.7109375" style="174" customWidth="1"/>
    <col min="13" max="13" width="36" style="84" hidden="1" customWidth="1"/>
    <col min="14" max="14" width="32.85546875" style="84" hidden="1" customWidth="1"/>
    <col min="15" max="16384" width="9.140625" style="174" hidden="1"/>
  </cols>
  <sheetData>
    <row r="1" spans="1:14" ht="15.75" thickBot="1" x14ac:dyDescent="0.3">
      <c r="A1" s="1" t="s">
        <v>417</v>
      </c>
      <c r="B1" s="1" t="s">
        <v>415</v>
      </c>
      <c r="C1" s="1" t="s">
        <v>38</v>
      </c>
      <c r="D1" s="1" t="s">
        <v>416</v>
      </c>
      <c r="E1" s="1"/>
      <c r="F1" s="1"/>
      <c r="G1"/>
      <c r="H1"/>
      <c r="I1"/>
      <c r="J1" s="36" t="s">
        <v>415</v>
      </c>
      <c r="K1" s="37" t="s">
        <v>416</v>
      </c>
      <c r="L1" s="28" t="s">
        <v>33</v>
      </c>
      <c r="M1"/>
      <c r="N1"/>
    </row>
    <row r="2" spans="1:14" ht="15.75" thickTop="1" x14ac:dyDescent="0.25">
      <c r="A2">
        <v>1</v>
      </c>
      <c r="B2" t="s">
        <v>39</v>
      </c>
      <c r="C2" t="s">
        <v>57</v>
      </c>
      <c r="D2" t="s">
        <v>55</v>
      </c>
      <c r="E2" s="204" t="s">
        <v>576</v>
      </c>
      <c r="F2" s="204">
        <v>13920</v>
      </c>
      <c r="G2" t="str">
        <f>LOOKUP(B2,ΠΕΡΙΦΕΡΕΙΑ!$A$2:$A$14,ΠΕΡΙΦΕΡΕΙΑ!$B$2:$B$14)</f>
        <v>Μερική</v>
      </c>
      <c r="H2">
        <f>IF(G2="Μερική",A2,"")</f>
        <v>1</v>
      </c>
      <c r="I2">
        <f>SMALL(H:H,A2)</f>
        <v>1</v>
      </c>
      <c r="J2" t="str">
        <f>IF(ISNUMBER(I2),LOOKUP(I2,A:A,B:B),"")</f>
        <v>ΑΝΑΤΟΛΙΚΗΣ ΜΑΚΕΔΟΝΙΑΣ ΚΑΙ ΘΡΑΚΗΣ</v>
      </c>
      <c r="K2" t="str">
        <f>IF(ISNUMBER(I2),LOOKUP(I2,A:A,D:D),"")</f>
        <v>ΑΒΔΗΡΩΝ</v>
      </c>
      <c r="L2" s="170" t="s">
        <v>420</v>
      </c>
      <c r="M2" t="str">
        <f t="shared" ref="M2:M65" si="0">IF(K2&lt;&gt;"",IF(L2="ΝΑΙ",J2&amp;" - "&amp;K2&amp;", ",""),"")</f>
        <v/>
      </c>
      <c r="N2" t="str">
        <f>M2</f>
        <v/>
      </c>
    </row>
    <row r="3" spans="1:14" x14ac:dyDescent="0.25">
      <c r="A3">
        <v>2</v>
      </c>
      <c r="B3" t="s">
        <v>39</v>
      </c>
      <c r="C3" t="s">
        <v>365</v>
      </c>
      <c r="D3" t="s">
        <v>46</v>
      </c>
      <c r="E3" s="204" t="s">
        <v>577</v>
      </c>
      <c r="F3" s="204">
        <v>13906</v>
      </c>
      <c r="G3" t="str">
        <f>LOOKUP(B3,ΠΕΡΙΦΕΡΕΙΑ!$A$2:$A$14,ΠΕΡΙΦΕΡΕΙΑ!$B$2:$B$14)</f>
        <v>Μερική</v>
      </c>
      <c r="H3">
        <f t="shared" ref="H3:H66" si="1">IF(G3="Μερική",A3,"")</f>
        <v>2</v>
      </c>
      <c r="I3">
        <f t="shared" ref="I3:I66" si="2">SMALL(H:H,A3)</f>
        <v>2</v>
      </c>
      <c r="J3" t="str">
        <f t="shared" ref="J3:J66" si="3">IF(ISNUMBER(I3),LOOKUP(I3,A:A,B:B),"")</f>
        <v>ΑΝΑΤΟΛΙΚΗΣ ΜΑΚΕΔΟΝΙΑΣ ΚΑΙ ΘΡΑΚΗΣ</v>
      </c>
      <c r="K3" t="str">
        <f t="shared" ref="K3:K66" si="4">IF(ISNUMBER(I3),LOOKUP(I3,A:A,D:D),"")</f>
        <v>ΑΛΕΞΑΝΔΡΟΥΠΟΛΗΣ</v>
      </c>
      <c r="L3" s="170" t="s">
        <v>419</v>
      </c>
      <c r="M3" t="str">
        <f t="shared" si="0"/>
        <v xml:space="preserve">ΑΝΑΤΟΛΙΚΗΣ ΜΑΚΕΔΟΝΙΑΣ ΚΑΙ ΘΡΑΚΗΣ - ΑΛΕΞΑΝΔΡΟΥΠΟΛΗΣ, </v>
      </c>
      <c r="N3" t="str">
        <f>N2&amp;M3</f>
        <v xml:space="preserve">ΑΝΑΤΟΛΙΚΗΣ ΜΑΚΕΔΟΝΙΑΣ ΚΑΙ ΘΡΑΚΗΣ - ΑΛΕΞΑΝΔΡΟΥΠΟΛΗΣ, </v>
      </c>
    </row>
    <row r="4" spans="1:14" x14ac:dyDescent="0.25">
      <c r="A4">
        <v>3</v>
      </c>
      <c r="B4" t="s">
        <v>39</v>
      </c>
      <c r="C4" t="s">
        <v>366</v>
      </c>
      <c r="D4" t="s">
        <v>59</v>
      </c>
      <c r="E4" s="204" t="s">
        <v>578</v>
      </c>
      <c r="F4" s="204">
        <v>13910</v>
      </c>
      <c r="G4" t="str">
        <f>LOOKUP(B4,ΠΕΡΙΦΕΡΕΙΑ!$A$2:$A$14,ΠΕΡΙΦΕΡΕΙΑ!$B$2:$B$14)</f>
        <v>Μερική</v>
      </c>
      <c r="H4">
        <f t="shared" si="1"/>
        <v>3</v>
      </c>
      <c r="I4">
        <f t="shared" si="2"/>
        <v>3</v>
      </c>
      <c r="J4" t="str">
        <f t="shared" si="3"/>
        <v>ΑΝΑΤΟΛΙΚΗΣ ΜΑΚΕΔΟΝΙΑΣ ΚΑΙ ΘΡΑΚΗΣ</v>
      </c>
      <c r="K4" t="str">
        <f t="shared" si="4"/>
        <v>ΑΡΡΙΑΝΩΝ</v>
      </c>
      <c r="L4" s="170" t="s">
        <v>420</v>
      </c>
      <c r="M4" t="str">
        <f t="shared" si="0"/>
        <v/>
      </c>
      <c r="N4" t="str">
        <f t="shared" ref="N4:N67" si="5">N3&amp;M4</f>
        <v xml:space="preserve">ΑΝΑΤΟΛΙΚΗΣ ΜΑΚΕΔΟΝΙΑΣ ΚΑΙ ΘΡΑΚΗΣ - ΑΛΕΞΑΝΔΡΟΥΠΟΛΗΣ, </v>
      </c>
    </row>
    <row r="5" spans="1:14" x14ac:dyDescent="0.25">
      <c r="A5">
        <v>4</v>
      </c>
      <c r="B5" t="s">
        <v>39</v>
      </c>
      <c r="C5" t="s">
        <v>365</v>
      </c>
      <c r="D5" t="s">
        <v>47</v>
      </c>
      <c r="E5" s="204" t="s">
        <v>579</v>
      </c>
      <c r="F5" s="204">
        <v>14058</v>
      </c>
      <c r="G5" t="str">
        <f>LOOKUP(B5,ΠΕΡΙΦΕΡΕΙΑ!$A$2:$A$14,ΠΕΡΙΦΕΡΕΙΑ!$B$2:$B$14)</f>
        <v>Μερική</v>
      </c>
      <c r="H5">
        <f t="shared" si="1"/>
        <v>4</v>
      </c>
      <c r="I5">
        <f t="shared" si="2"/>
        <v>4</v>
      </c>
      <c r="J5" t="str">
        <f t="shared" si="3"/>
        <v>ΑΝΑΤΟΛΙΚΗΣ ΜΑΚΕΔΟΝΙΑΣ ΚΑΙ ΘΡΑΚΗΣ</v>
      </c>
      <c r="K5" t="str">
        <f t="shared" si="4"/>
        <v>ΔΙΔΥΜΟΤΕΙΧΟΥ</v>
      </c>
      <c r="L5" s="170" t="s">
        <v>420</v>
      </c>
      <c r="M5" t="str">
        <f t="shared" si="0"/>
        <v/>
      </c>
      <c r="N5" t="str">
        <f t="shared" si="5"/>
        <v xml:space="preserve">ΑΝΑΤΟΛΙΚΗΣ ΜΑΚΕΔΟΝΙΑΣ ΚΑΙ ΘΡΑΚΗΣ - ΑΛΕΞΑΝΔΡΟΥΠΟΛΗΣ, </v>
      </c>
    </row>
    <row r="6" spans="1:14" x14ac:dyDescent="0.25">
      <c r="A6">
        <v>5</v>
      </c>
      <c r="B6" t="s">
        <v>39</v>
      </c>
      <c r="C6" t="s">
        <v>42</v>
      </c>
      <c r="D6" t="s">
        <v>41</v>
      </c>
      <c r="E6" s="204" t="s">
        <v>580</v>
      </c>
      <c r="F6" s="204">
        <v>14068</v>
      </c>
      <c r="G6" t="str">
        <f>LOOKUP(B6,ΠΕΡΙΦΕΡΕΙΑ!$A$2:$A$14,ΠΕΡΙΦΕΡΕΙΑ!$B$2:$B$14)</f>
        <v>Μερική</v>
      </c>
      <c r="H6">
        <f t="shared" si="1"/>
        <v>5</v>
      </c>
      <c r="I6">
        <f t="shared" si="2"/>
        <v>5</v>
      </c>
      <c r="J6" t="str">
        <f t="shared" si="3"/>
        <v>ΑΝΑΤΟΛΙΚΗΣ ΜΑΚΕΔΟΝΙΑΣ ΚΑΙ ΘΡΑΚΗΣ</v>
      </c>
      <c r="K6" t="str">
        <f t="shared" si="4"/>
        <v>ΔΟΞΑΤΟΥ</v>
      </c>
      <c r="L6" s="170" t="s">
        <v>420</v>
      </c>
      <c r="M6" t="str">
        <f t="shared" si="0"/>
        <v/>
      </c>
      <c r="N6" t="str">
        <f t="shared" si="5"/>
        <v xml:space="preserve">ΑΝΑΤΟΛΙΚΗΣ ΜΑΚΕΔΟΝΙΑΣ ΚΑΙ ΘΡΑΚΗΣ - ΑΛΕΞΑΝΔΡΟΥΠΟΛΗΣ, </v>
      </c>
    </row>
    <row r="7" spans="1:14" x14ac:dyDescent="0.25">
      <c r="A7">
        <v>6</v>
      </c>
      <c r="B7" t="s">
        <v>39</v>
      </c>
      <c r="C7" t="s">
        <v>42</v>
      </c>
      <c r="D7" t="s">
        <v>42</v>
      </c>
      <c r="E7" s="204" t="s">
        <v>581</v>
      </c>
      <c r="F7" s="204">
        <v>14070</v>
      </c>
      <c r="G7" t="str">
        <f>LOOKUP(B7,ΠΕΡΙΦΕΡΕΙΑ!$A$2:$A$14,ΠΕΡΙΦΕΡΕΙΑ!$B$2:$B$14)</f>
        <v>Μερική</v>
      </c>
      <c r="H7">
        <f t="shared" si="1"/>
        <v>6</v>
      </c>
      <c r="I7">
        <f t="shared" si="2"/>
        <v>6</v>
      </c>
      <c r="J7" t="str">
        <f t="shared" si="3"/>
        <v>ΑΝΑΤΟΛΙΚΗΣ ΜΑΚΕΔΟΝΙΑΣ ΚΑΙ ΘΡΑΚΗΣ</v>
      </c>
      <c r="K7" t="str">
        <f t="shared" si="4"/>
        <v>ΔΡΑΜΑΣ</v>
      </c>
      <c r="L7" s="170" t="s">
        <v>419</v>
      </c>
      <c r="M7" t="str">
        <f t="shared" si="0"/>
        <v xml:space="preserve">ΑΝΑΤΟΛΙΚΗΣ ΜΑΚΕΔΟΝΙΑΣ ΚΑΙ ΘΡΑΚΗΣ - ΔΡΑΜΑΣ, </v>
      </c>
      <c r="N7" t="str">
        <f t="shared" si="5"/>
        <v xml:space="preserve">ΑΝΑΤΟΛΙΚΗΣ ΜΑΚΕΔΟΝΙΑΣ ΚΑΙ ΘΡΑΚΗΣ - ΑΛΕΞΑΝΔΡΟΥΠΟΛΗΣ, ΑΝΑΤΟΛΙΚΗΣ ΜΑΚΕΔΟΝΙΑΣ ΚΑΙ ΘΡΑΚΗΣ - ΔΡΑΜΑΣ, </v>
      </c>
    </row>
    <row r="8" spans="1:14" x14ac:dyDescent="0.25">
      <c r="A8">
        <v>7</v>
      </c>
      <c r="B8" t="s">
        <v>39</v>
      </c>
      <c r="C8" t="s">
        <v>51</v>
      </c>
      <c r="D8" t="s">
        <v>51</v>
      </c>
      <c r="E8" s="204" t="s">
        <v>582</v>
      </c>
      <c r="F8" s="204">
        <v>14124</v>
      </c>
      <c r="G8" t="str">
        <f>LOOKUP(B8,ΠΕΡΙΦΕΡΕΙΑ!$A$2:$A$14,ΠΕΡΙΦΕΡΕΙΑ!$B$2:$B$14)</f>
        <v>Μερική</v>
      </c>
      <c r="H8">
        <f t="shared" si="1"/>
        <v>7</v>
      </c>
      <c r="I8">
        <f t="shared" si="2"/>
        <v>7</v>
      </c>
      <c r="J8" t="str">
        <f t="shared" si="3"/>
        <v>ΑΝΑΤΟΛΙΚΗΣ ΜΑΚΕΔΟΝΙΑΣ ΚΑΙ ΘΡΑΚΗΣ</v>
      </c>
      <c r="K8" t="str">
        <f t="shared" si="4"/>
        <v>ΘΑΣΟΥ</v>
      </c>
      <c r="L8" s="170" t="s">
        <v>420</v>
      </c>
      <c r="M8" t="str">
        <f t="shared" si="0"/>
        <v/>
      </c>
      <c r="N8" t="str">
        <f t="shared" si="5"/>
        <v xml:space="preserve">ΑΝΑΤΟΛΙΚΗΣ ΜΑΚΕΔΟΝΙΑΣ ΚΑΙ ΘΡΑΚΗΣ - ΑΛΕΞΑΝΔΡΟΥΠΟΛΗΣ, ΑΝΑΤΟΛΙΚΗΣ ΜΑΚΕΔΟΝΙΑΣ ΚΑΙ ΘΡΑΚΗΣ - ΔΡΑΜΑΣ, </v>
      </c>
    </row>
    <row r="9" spans="1:14" x14ac:dyDescent="0.25">
      <c r="A9">
        <v>8</v>
      </c>
      <c r="B9" t="s">
        <v>39</v>
      </c>
      <c r="C9" t="s">
        <v>366</v>
      </c>
      <c r="D9" t="s">
        <v>60</v>
      </c>
      <c r="E9" s="204" t="s">
        <v>583</v>
      </c>
      <c r="F9" s="204">
        <v>14140</v>
      </c>
      <c r="G9" t="str">
        <f>LOOKUP(B9,ΠΕΡΙΦΕΡΕΙΑ!$A$2:$A$14,ΠΕΡΙΦΕΡΕΙΑ!$B$2:$B$14)</f>
        <v>Μερική</v>
      </c>
      <c r="H9">
        <f t="shared" si="1"/>
        <v>8</v>
      </c>
      <c r="I9">
        <f t="shared" si="2"/>
        <v>8</v>
      </c>
      <c r="J9" t="str">
        <f t="shared" si="3"/>
        <v>ΑΝΑΤΟΛΙΚΗΣ ΜΑΚΕΔΟΝΙΑΣ ΚΑΙ ΘΡΑΚΗΣ</v>
      </c>
      <c r="K9" t="str">
        <f t="shared" si="4"/>
        <v>ΙΑΣΜΟΥ</v>
      </c>
      <c r="L9" s="170" t="s">
        <v>420</v>
      </c>
      <c r="M9" t="str">
        <f t="shared" si="0"/>
        <v/>
      </c>
      <c r="N9" t="str">
        <f t="shared" si="5"/>
        <v xml:space="preserve">ΑΝΑΤΟΛΙΚΗΣ ΜΑΚΕΔΟΝΙΑΣ ΚΑΙ ΘΡΑΚΗΣ - ΑΛΕΞΑΝΔΡΟΥΠΟΛΗΣ, ΑΝΑΤΟΛΙΚΗΣ ΜΑΚΕΔΟΝΙΑΣ ΚΑΙ ΘΡΑΚΗΣ - ΔΡΑΜΑΣ, </v>
      </c>
    </row>
    <row r="10" spans="1:14" x14ac:dyDescent="0.25">
      <c r="A10">
        <v>9</v>
      </c>
      <c r="B10" t="s">
        <v>39</v>
      </c>
      <c r="C10" t="s">
        <v>52</v>
      </c>
      <c r="D10" t="s">
        <v>52</v>
      </c>
      <c r="E10" s="204" t="s">
        <v>584</v>
      </c>
      <c r="F10" s="204">
        <v>14156</v>
      </c>
      <c r="G10" t="str">
        <f>LOOKUP(B10,ΠΕΡΙΦΕΡΕΙΑ!$A$2:$A$14,ΠΕΡΙΦΕΡΕΙΑ!$B$2:$B$14)</f>
        <v>Μερική</v>
      </c>
      <c r="H10">
        <f t="shared" si="1"/>
        <v>9</v>
      </c>
      <c r="I10">
        <f t="shared" si="2"/>
        <v>9</v>
      </c>
      <c r="J10" t="str">
        <f t="shared" si="3"/>
        <v>ΑΝΑΤΟΛΙΚΗΣ ΜΑΚΕΔΟΝΙΑΣ ΚΑΙ ΘΡΑΚΗΣ</v>
      </c>
      <c r="K10" t="str">
        <f t="shared" si="4"/>
        <v>ΚΑΒΑΛΑΣ</v>
      </c>
      <c r="L10" s="170" t="s">
        <v>419</v>
      </c>
      <c r="M10" t="str">
        <f t="shared" si="0"/>
        <v xml:space="preserve">ΑΝΑΤΟΛΙΚΗΣ ΜΑΚΕΔΟΝΙΑΣ ΚΑΙ ΘΡΑΚΗΣ - ΚΑΒΑΛΑΣ, </v>
      </c>
      <c r="N10"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v>
      </c>
    </row>
    <row r="11" spans="1:14" x14ac:dyDescent="0.25">
      <c r="A11">
        <v>10</v>
      </c>
      <c r="B11" t="s">
        <v>39</v>
      </c>
      <c r="C11" t="s">
        <v>42</v>
      </c>
      <c r="D11" t="s">
        <v>43</v>
      </c>
      <c r="E11" s="204" t="s">
        <v>585</v>
      </c>
      <c r="F11" s="204">
        <v>14202</v>
      </c>
      <c r="G11" t="str">
        <f>LOOKUP(B11,ΠΕΡΙΦΕΡΕΙΑ!$A$2:$A$14,ΠΕΡΙΦΕΡΕΙΑ!$B$2:$B$14)</f>
        <v>Μερική</v>
      </c>
      <c r="H11">
        <f t="shared" si="1"/>
        <v>10</v>
      </c>
      <c r="I11">
        <f t="shared" si="2"/>
        <v>10</v>
      </c>
      <c r="J11" t="str">
        <f t="shared" si="3"/>
        <v>ΑΝΑΤΟΛΙΚΗΣ ΜΑΚΕΔΟΝΙΑΣ ΚΑΙ ΘΡΑΚΗΣ</v>
      </c>
      <c r="K11" t="str">
        <f t="shared" si="4"/>
        <v>ΚΑΤΩ ΝΕΥΡΟΚΟΠΙΟΥ</v>
      </c>
      <c r="L11" s="170" t="s">
        <v>420</v>
      </c>
      <c r="M11" t="str">
        <f t="shared" si="0"/>
        <v/>
      </c>
      <c r="N11"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v>
      </c>
    </row>
    <row r="12" spans="1:14" x14ac:dyDescent="0.25">
      <c r="A12">
        <v>11</v>
      </c>
      <c r="B12" t="s">
        <v>39</v>
      </c>
      <c r="C12" t="s">
        <v>366</v>
      </c>
      <c r="D12" t="s">
        <v>61</v>
      </c>
      <c r="E12" s="204" t="s">
        <v>586</v>
      </c>
      <c r="F12" s="204">
        <v>14220</v>
      </c>
      <c r="G12" t="str">
        <f>LOOKUP(B12,ΠΕΡΙΦΕΡΕΙΑ!$A$2:$A$14,ΠΕΡΙΦΕΡΕΙΑ!$B$2:$B$14)</f>
        <v>Μερική</v>
      </c>
      <c r="H12">
        <f t="shared" si="1"/>
        <v>11</v>
      </c>
      <c r="I12">
        <f t="shared" si="2"/>
        <v>11</v>
      </c>
      <c r="J12" t="str">
        <f t="shared" si="3"/>
        <v>ΑΝΑΤΟΛΙΚΗΣ ΜΑΚΕΔΟΝΙΑΣ ΚΑΙ ΘΡΑΚΗΣ</v>
      </c>
      <c r="K12" t="str">
        <f t="shared" si="4"/>
        <v>ΚΟΜΟΤΗΝΗΣ</v>
      </c>
      <c r="L12" s="170" t="s">
        <v>419</v>
      </c>
      <c r="M12" t="str">
        <f t="shared" si="0"/>
        <v xml:space="preserve">ΑΝΑΤΟΛΙΚΗΣ ΜΑΚΕΔΟΝΙΑΣ ΚΑΙ ΘΡΑΚΗΣ - ΚΟΜΟΤΗΝΗΣ, </v>
      </c>
      <c r="N12"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v>
      </c>
    </row>
    <row r="13" spans="1:14" x14ac:dyDescent="0.25">
      <c r="A13">
        <v>12</v>
      </c>
      <c r="B13" t="s">
        <v>39</v>
      </c>
      <c r="C13" t="s">
        <v>366</v>
      </c>
      <c r="D13" t="s">
        <v>62</v>
      </c>
      <c r="E13" s="204" t="s">
        <v>587</v>
      </c>
      <c r="F13" s="204">
        <v>14280</v>
      </c>
      <c r="G13" t="str">
        <f>LOOKUP(B13,ΠΕΡΙΦΕΡΕΙΑ!$A$2:$A$14,ΠΕΡΙΦΕΡΕΙΑ!$B$2:$B$14)</f>
        <v>Μερική</v>
      </c>
      <c r="H13">
        <f t="shared" si="1"/>
        <v>12</v>
      </c>
      <c r="I13">
        <f t="shared" si="2"/>
        <v>12</v>
      </c>
      <c r="J13" t="str">
        <f t="shared" si="3"/>
        <v>ΑΝΑΤΟΛΙΚΗΣ ΜΑΚΕΔΟΝΙΑΣ ΚΑΙ ΘΡΑΚΗΣ</v>
      </c>
      <c r="K13" t="str">
        <f t="shared" si="4"/>
        <v>ΜΑΡΩΝΕΙΑΣ – ΣΑΠΩΝ</v>
      </c>
      <c r="L13" s="170" t="s">
        <v>420</v>
      </c>
      <c r="M13" t="str">
        <f t="shared" si="0"/>
        <v/>
      </c>
      <c r="N13"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v>
      </c>
    </row>
    <row r="14" spans="1:14" x14ac:dyDescent="0.25">
      <c r="A14">
        <v>13</v>
      </c>
      <c r="B14" t="s">
        <v>39</v>
      </c>
      <c r="C14" t="s">
        <v>57</v>
      </c>
      <c r="D14" t="s">
        <v>56</v>
      </c>
      <c r="E14" s="204" t="s">
        <v>588</v>
      </c>
      <c r="F14" s="204">
        <v>14304</v>
      </c>
      <c r="G14" t="str">
        <f>LOOKUP(B14,ΠΕΡΙΦΕΡΕΙΑ!$A$2:$A$14,ΠΕΡΙΦΕΡΕΙΑ!$B$2:$B$14)</f>
        <v>Μερική</v>
      </c>
      <c r="H14">
        <f t="shared" si="1"/>
        <v>13</v>
      </c>
      <c r="I14">
        <f t="shared" si="2"/>
        <v>13</v>
      </c>
      <c r="J14" t="str">
        <f t="shared" si="3"/>
        <v>ΑΝΑΤΟΛΙΚΗΣ ΜΑΚΕΔΟΝΙΑΣ ΚΑΙ ΘΡΑΚΗΣ</v>
      </c>
      <c r="K14" t="str">
        <f t="shared" si="4"/>
        <v>ΜΥΚΗΣ</v>
      </c>
      <c r="L14" s="170" t="s">
        <v>420</v>
      </c>
      <c r="M14" t="str">
        <f t="shared" si="0"/>
        <v/>
      </c>
      <c r="N14"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v>
      </c>
    </row>
    <row r="15" spans="1:14" x14ac:dyDescent="0.25">
      <c r="A15">
        <v>14</v>
      </c>
      <c r="B15" t="s">
        <v>39</v>
      </c>
      <c r="C15" t="s">
        <v>52</v>
      </c>
      <c r="D15" t="s">
        <v>53</v>
      </c>
      <c r="E15" s="204" t="s">
        <v>589</v>
      </c>
      <c r="F15" s="204">
        <v>14336</v>
      </c>
      <c r="G15" t="str">
        <f>LOOKUP(B15,ΠΕΡΙΦΕΡΕΙΑ!$A$2:$A$14,ΠΕΡΙΦΕΡΕΙΑ!$B$2:$B$14)</f>
        <v>Μερική</v>
      </c>
      <c r="H15">
        <f t="shared" si="1"/>
        <v>14</v>
      </c>
      <c r="I15">
        <f t="shared" si="2"/>
        <v>14</v>
      </c>
      <c r="J15" t="str">
        <f t="shared" si="3"/>
        <v>ΑΝΑΤΟΛΙΚΗΣ ΜΑΚΕΔΟΝΙΑΣ ΚΑΙ ΘΡΑΚΗΣ</v>
      </c>
      <c r="K15" t="str">
        <f t="shared" si="4"/>
        <v>ΝΕΣΤΟΥ</v>
      </c>
      <c r="L15" s="170" t="s">
        <v>420</v>
      </c>
      <c r="M15" t="str">
        <f t="shared" si="0"/>
        <v/>
      </c>
      <c r="N15"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v>
      </c>
    </row>
    <row r="16" spans="1:14" x14ac:dyDescent="0.25">
      <c r="A16">
        <v>15</v>
      </c>
      <c r="B16" t="s">
        <v>39</v>
      </c>
      <c r="C16" t="s">
        <v>57</v>
      </c>
      <c r="D16" t="s">
        <v>57</v>
      </c>
      <c r="E16" s="204" t="s">
        <v>590</v>
      </c>
      <c r="F16" s="204">
        <v>14330</v>
      </c>
      <c r="G16" t="str">
        <f>LOOKUP(B16,ΠΕΡΙΦΕΡΕΙΑ!$A$2:$A$14,ΠΕΡΙΦΕΡΕΙΑ!$B$2:$B$14)</f>
        <v>Μερική</v>
      </c>
      <c r="H16">
        <f t="shared" si="1"/>
        <v>15</v>
      </c>
      <c r="I16">
        <f t="shared" si="2"/>
        <v>15</v>
      </c>
      <c r="J16" t="str">
        <f t="shared" si="3"/>
        <v>ΑΝΑΤΟΛΙΚΗΣ ΜΑΚΕΔΟΝΙΑΣ ΚΑΙ ΘΡΑΚΗΣ</v>
      </c>
      <c r="K16" t="str">
        <f t="shared" si="4"/>
        <v>ΞΑΝΘΗΣ</v>
      </c>
      <c r="L16" s="170" t="s">
        <v>419</v>
      </c>
      <c r="M16" t="str">
        <f t="shared" si="0"/>
        <v xml:space="preserve">ΑΝΑΤΟΛΙΚΗΣ ΜΑΚΕΔΟΝΙΑΣ ΚΑΙ ΘΡΑΚΗΣ - ΞΑΝΘΗΣ, </v>
      </c>
      <c r="N16"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v>
      </c>
    </row>
    <row r="17" spans="1:14" x14ac:dyDescent="0.25">
      <c r="A17">
        <v>16</v>
      </c>
      <c r="B17" t="s">
        <v>39</v>
      </c>
      <c r="C17" t="s">
        <v>365</v>
      </c>
      <c r="D17" t="s">
        <v>48</v>
      </c>
      <c r="E17" s="204" t="s">
        <v>591</v>
      </c>
      <c r="F17" s="204">
        <v>14352</v>
      </c>
      <c r="G17" t="str">
        <f>LOOKUP(B17,ΠΕΡΙΦΕΡΕΙΑ!$A$2:$A$14,ΠΕΡΙΦΕΡΕΙΑ!$B$2:$B$14)</f>
        <v>Μερική</v>
      </c>
      <c r="H17">
        <f t="shared" si="1"/>
        <v>16</v>
      </c>
      <c r="I17">
        <f t="shared" si="2"/>
        <v>16</v>
      </c>
      <c r="J17" t="str">
        <f t="shared" si="3"/>
        <v>ΑΝΑΤΟΛΙΚΗΣ ΜΑΚΕΔΟΝΙΑΣ ΚΑΙ ΘΡΑΚΗΣ</v>
      </c>
      <c r="K17" t="str">
        <f t="shared" si="4"/>
        <v>ΟΡΕΣΤΙΑΔΑΣ</v>
      </c>
      <c r="L17" s="170" t="s">
        <v>420</v>
      </c>
      <c r="M17" t="str">
        <f t="shared" si="0"/>
        <v/>
      </c>
      <c r="N17"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v>
      </c>
    </row>
    <row r="18" spans="1:14" x14ac:dyDescent="0.25">
      <c r="A18">
        <v>17</v>
      </c>
      <c r="B18" t="s">
        <v>39</v>
      </c>
      <c r="C18" t="s">
        <v>52</v>
      </c>
      <c r="D18" t="s">
        <v>54</v>
      </c>
      <c r="E18" s="204" t="s">
        <v>592</v>
      </c>
      <c r="F18" s="204">
        <v>14360</v>
      </c>
      <c r="G18" t="str">
        <f>LOOKUP(B18,ΠΕΡΙΦΕΡΕΙΑ!$A$2:$A$14,ΠΕΡΙΦΕΡΕΙΑ!$B$2:$B$14)</f>
        <v>Μερική</v>
      </c>
      <c r="H18">
        <f t="shared" si="1"/>
        <v>17</v>
      </c>
      <c r="I18">
        <f t="shared" si="2"/>
        <v>17</v>
      </c>
      <c r="J18" t="str">
        <f t="shared" si="3"/>
        <v>ΑΝΑΤΟΛΙΚΗΣ ΜΑΚΕΔΟΝΙΑΣ ΚΑΙ ΘΡΑΚΗΣ</v>
      </c>
      <c r="K18" t="str">
        <f t="shared" si="4"/>
        <v>ΠΑΓΓΑΙΟΥ</v>
      </c>
      <c r="L18" s="170" t="s">
        <v>420</v>
      </c>
      <c r="M18" t="str">
        <f t="shared" si="0"/>
        <v/>
      </c>
      <c r="N18"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v>
      </c>
    </row>
    <row r="19" spans="1:14" x14ac:dyDescent="0.25">
      <c r="A19">
        <v>18</v>
      </c>
      <c r="B19" t="s">
        <v>39</v>
      </c>
      <c r="C19" t="s">
        <v>42</v>
      </c>
      <c r="D19" t="s">
        <v>44</v>
      </c>
      <c r="E19" s="204" t="s">
        <v>593</v>
      </c>
      <c r="F19" s="204">
        <v>14396</v>
      </c>
      <c r="G19" t="str">
        <f>LOOKUP(B19,ΠΕΡΙΦΕΡΕΙΑ!$A$2:$A$14,ΠΕΡΙΦΕΡΕΙΑ!$B$2:$B$14)</f>
        <v>Μερική</v>
      </c>
      <c r="H19">
        <f t="shared" si="1"/>
        <v>18</v>
      </c>
      <c r="I19">
        <f t="shared" si="2"/>
        <v>18</v>
      </c>
      <c r="J19" t="str">
        <f t="shared" si="3"/>
        <v>ΑΝΑΤΟΛΙΚΗΣ ΜΑΚΕΔΟΝΙΑΣ ΚΑΙ ΘΡΑΚΗΣ</v>
      </c>
      <c r="K19" t="str">
        <f t="shared" si="4"/>
        <v>ΠΑΡΑΝΕΣΤΙΟΥ</v>
      </c>
      <c r="L19" s="170" t="s">
        <v>420</v>
      </c>
      <c r="M19" t="str">
        <f t="shared" si="0"/>
        <v/>
      </c>
      <c r="N19"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v>
      </c>
    </row>
    <row r="20" spans="1:14" x14ac:dyDescent="0.25">
      <c r="A20">
        <v>19</v>
      </c>
      <c r="B20" t="s">
        <v>39</v>
      </c>
      <c r="C20" t="s">
        <v>42</v>
      </c>
      <c r="D20" t="s">
        <v>45</v>
      </c>
      <c r="E20" s="204" t="s">
        <v>594</v>
      </c>
      <c r="F20" s="204">
        <v>14420</v>
      </c>
      <c r="G20" t="str">
        <f>LOOKUP(B20,ΠΕΡΙΦΕΡΕΙΑ!$A$2:$A$14,ΠΕΡΙΦΕΡΕΙΑ!$B$2:$B$14)</f>
        <v>Μερική</v>
      </c>
      <c r="H20">
        <f t="shared" si="1"/>
        <v>19</v>
      </c>
      <c r="I20">
        <f t="shared" si="2"/>
        <v>19</v>
      </c>
      <c r="J20" t="str">
        <f t="shared" si="3"/>
        <v>ΑΝΑΤΟΛΙΚΗΣ ΜΑΚΕΔΟΝΙΑΣ ΚΑΙ ΘΡΑΚΗΣ</v>
      </c>
      <c r="K20" t="str">
        <f t="shared" si="4"/>
        <v>ΠΡΟΣΟΤΣΑΝΗΣ</v>
      </c>
      <c r="L20" s="170" t="s">
        <v>420</v>
      </c>
      <c r="M20" t="str">
        <f t="shared" si="0"/>
        <v/>
      </c>
      <c r="N20"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v>
      </c>
    </row>
    <row r="21" spans="1:14" x14ac:dyDescent="0.25">
      <c r="A21">
        <v>20</v>
      </c>
      <c r="B21" t="s">
        <v>39</v>
      </c>
      <c r="C21" t="s">
        <v>365</v>
      </c>
      <c r="D21" t="s">
        <v>49</v>
      </c>
      <c r="E21" s="204" t="s">
        <v>595</v>
      </c>
      <c r="F21" s="204">
        <v>14432</v>
      </c>
      <c r="G21" t="str">
        <f>LOOKUP(B21,ΠΕΡΙΦΕΡΕΙΑ!$A$2:$A$14,ΠΕΡΙΦΕΡΕΙΑ!$B$2:$B$14)</f>
        <v>Μερική</v>
      </c>
      <c r="H21">
        <f t="shared" si="1"/>
        <v>20</v>
      </c>
      <c r="I21">
        <f t="shared" si="2"/>
        <v>20</v>
      </c>
      <c r="J21" t="str">
        <f t="shared" si="3"/>
        <v>ΑΝΑΤΟΛΙΚΗΣ ΜΑΚΕΔΟΝΙΑΣ ΚΑΙ ΘΡΑΚΗΣ</v>
      </c>
      <c r="K21" t="str">
        <f t="shared" si="4"/>
        <v>ΣΑΜΟΘΡΑΚΗΣ</v>
      </c>
      <c r="L21" s="170" t="s">
        <v>420</v>
      </c>
      <c r="M21" t="str">
        <f t="shared" si="0"/>
        <v/>
      </c>
      <c r="N21"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v>
      </c>
    </row>
    <row r="22" spans="1:14" x14ac:dyDescent="0.25">
      <c r="A22">
        <v>21</v>
      </c>
      <c r="B22" t="s">
        <v>39</v>
      </c>
      <c r="C22" t="s">
        <v>365</v>
      </c>
      <c r="D22" t="s">
        <v>50</v>
      </c>
      <c r="E22" s="204" t="s">
        <v>596</v>
      </c>
      <c r="F22" s="204">
        <v>14470</v>
      </c>
      <c r="G22" t="str">
        <f>LOOKUP(B22,ΠΕΡΙΦΕΡΕΙΑ!$A$2:$A$14,ΠΕΡΙΦΕΡΕΙΑ!$B$2:$B$14)</f>
        <v>Μερική</v>
      </c>
      <c r="H22">
        <f t="shared" si="1"/>
        <v>21</v>
      </c>
      <c r="I22">
        <f t="shared" si="2"/>
        <v>21</v>
      </c>
      <c r="J22" t="str">
        <f t="shared" si="3"/>
        <v>ΑΝΑΤΟΛΙΚΗΣ ΜΑΚΕΔΟΝΙΑΣ ΚΑΙ ΘΡΑΚΗΣ</v>
      </c>
      <c r="K22" t="str">
        <f t="shared" si="4"/>
        <v>ΣΟΥΦΛΙΟΥ</v>
      </c>
      <c r="L22" s="170" t="s">
        <v>420</v>
      </c>
      <c r="M22" t="str">
        <f t="shared" si="0"/>
        <v/>
      </c>
      <c r="N22"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v>
      </c>
    </row>
    <row r="23" spans="1:14" x14ac:dyDescent="0.25">
      <c r="A23">
        <v>22</v>
      </c>
      <c r="B23" t="s">
        <v>39</v>
      </c>
      <c r="C23" t="s">
        <v>57</v>
      </c>
      <c r="D23" t="s">
        <v>58</v>
      </c>
      <c r="E23" s="204" t="s">
        <v>597</v>
      </c>
      <c r="F23" s="204">
        <v>14492</v>
      </c>
      <c r="G23" t="str">
        <f>LOOKUP(B23,ΠΕΡΙΦΕΡΕΙΑ!$A$2:$A$14,ΠΕΡΙΦΕΡΕΙΑ!$B$2:$B$14)</f>
        <v>Μερική</v>
      </c>
      <c r="H23">
        <f t="shared" si="1"/>
        <v>22</v>
      </c>
      <c r="I23">
        <f t="shared" si="2"/>
        <v>22</v>
      </c>
      <c r="J23" t="str">
        <f t="shared" si="3"/>
        <v>ΑΝΑΤΟΛΙΚΗΣ ΜΑΚΕΔΟΝΙΑΣ ΚΑΙ ΘΡΑΚΗΣ</v>
      </c>
      <c r="K23" t="str">
        <f t="shared" si="4"/>
        <v>ΤΟΠΕΙΡΟΥ</v>
      </c>
      <c r="L23" s="170" t="s">
        <v>420</v>
      </c>
      <c r="M23" t="str">
        <f t="shared" si="0"/>
        <v/>
      </c>
      <c r="N23"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v>
      </c>
    </row>
    <row r="24" spans="1:14" x14ac:dyDescent="0.25">
      <c r="A24">
        <v>23</v>
      </c>
      <c r="B24" t="s">
        <v>40</v>
      </c>
      <c r="C24" t="s">
        <v>370</v>
      </c>
      <c r="D24" t="s">
        <v>93</v>
      </c>
      <c r="E24" s="204" t="s">
        <v>598</v>
      </c>
      <c r="F24" s="204">
        <v>13922</v>
      </c>
      <c r="G24" t="str">
        <f>LOOKUP(B24,ΠΕΡΙΦΕΡΕΙΑ!$A$2:$A$14,ΠΕΡΙΦΕΡΕΙΑ!$B$2:$B$14)</f>
        <v>Μερική</v>
      </c>
      <c r="H24">
        <f t="shared" si="1"/>
        <v>23</v>
      </c>
      <c r="I24">
        <f t="shared" si="2"/>
        <v>23</v>
      </c>
      <c r="J24" t="str">
        <f t="shared" si="3"/>
        <v>ΑΤΤΙΚΗΣ</v>
      </c>
      <c r="K24" t="str">
        <f t="shared" si="4"/>
        <v>ΑΓΙΑΣ ΒΑΡΒΑΡΑΣ</v>
      </c>
      <c r="L24" s="170" t="s">
        <v>419</v>
      </c>
      <c r="M24" t="str">
        <f t="shared" si="0"/>
        <v xml:space="preserve">ΑΤΤΙΚΗΣ - ΑΓΙΑΣ ΒΑΡΒΑΡΑΣ, </v>
      </c>
      <c r="N24"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v>
      </c>
    </row>
    <row r="25" spans="1:14" x14ac:dyDescent="0.25">
      <c r="A25">
        <v>24</v>
      </c>
      <c r="B25" t="s">
        <v>40</v>
      </c>
      <c r="C25" t="s">
        <v>368</v>
      </c>
      <c r="D25" t="s">
        <v>76</v>
      </c>
      <c r="E25" s="204" t="s">
        <v>599</v>
      </c>
      <c r="F25" s="204">
        <v>13924</v>
      </c>
      <c r="G25" t="str">
        <f>LOOKUP(B25,ΠΕΡΙΦΕΡΕΙΑ!$A$2:$A$14,ΠΕΡΙΦΕΡΕΙΑ!$B$2:$B$14)</f>
        <v>Μερική</v>
      </c>
      <c r="H25">
        <f t="shared" si="1"/>
        <v>24</v>
      </c>
      <c r="I25">
        <f t="shared" si="2"/>
        <v>24</v>
      </c>
      <c r="J25" t="str">
        <f t="shared" si="3"/>
        <v>ΑΤΤΙΚΗΣ</v>
      </c>
      <c r="K25" t="str">
        <f t="shared" si="4"/>
        <v>ΑΓΙΑΣ ΠΑΡΑΣΚΕΥΗΣ</v>
      </c>
      <c r="L25" s="170" t="s">
        <v>419</v>
      </c>
      <c r="M25" t="str">
        <f t="shared" si="0"/>
        <v xml:space="preserve">ΑΤΤΙΚΗΣ - ΑΓΙΑΣ ΠΑΡΑΣΚΕΥΗΣ, </v>
      </c>
      <c r="N25"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v>
      </c>
    </row>
    <row r="26" spans="1:14" x14ac:dyDescent="0.25">
      <c r="A26">
        <v>25</v>
      </c>
      <c r="B26" t="s">
        <v>40</v>
      </c>
      <c r="C26" t="s">
        <v>373</v>
      </c>
      <c r="D26" t="s">
        <v>116</v>
      </c>
      <c r="E26" s="204" t="s">
        <v>600</v>
      </c>
      <c r="F26" s="204">
        <v>13926</v>
      </c>
      <c r="G26" t="str">
        <f>LOOKUP(B26,ΠΕΡΙΦΕΡΕΙΑ!$A$2:$A$14,ΠΕΡΙΦΕΡΕΙΑ!$B$2:$B$14)</f>
        <v>Μερική</v>
      </c>
      <c r="H26">
        <f t="shared" si="1"/>
        <v>25</v>
      </c>
      <c r="I26">
        <f t="shared" si="2"/>
        <v>25</v>
      </c>
      <c r="J26" t="str">
        <f t="shared" si="3"/>
        <v>ΑΤΤΙΚΗΣ</v>
      </c>
      <c r="K26" t="str">
        <f t="shared" si="4"/>
        <v>ΑΓΙΟΥ ΔΗΜΗΤΡΙΟΥ</v>
      </c>
      <c r="L26" s="170" t="s">
        <v>419</v>
      </c>
      <c r="M26" t="str">
        <f t="shared" si="0"/>
        <v xml:space="preserve">ΑΤΤΙΚΗΣ - ΑΓΙΟΥ ΔΗΜΗΤΡΙΟΥ, </v>
      </c>
      <c r="N26"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v>
      </c>
    </row>
    <row r="27" spans="1:14" x14ac:dyDescent="0.25">
      <c r="A27">
        <v>26</v>
      </c>
      <c r="B27" t="s">
        <v>40</v>
      </c>
      <c r="C27" t="s">
        <v>370</v>
      </c>
      <c r="D27" t="s">
        <v>94</v>
      </c>
      <c r="E27" s="204" t="s">
        <v>601</v>
      </c>
      <c r="F27" s="204">
        <v>13932</v>
      </c>
      <c r="G27" t="str">
        <f>LOOKUP(B27,ΠΕΡΙΦΕΡΕΙΑ!$A$2:$A$14,ΠΕΡΙΦΕΡΕΙΑ!$B$2:$B$14)</f>
        <v>Μερική</v>
      </c>
      <c r="H27">
        <f t="shared" si="1"/>
        <v>26</v>
      </c>
      <c r="I27">
        <f t="shared" si="2"/>
        <v>26</v>
      </c>
      <c r="J27" t="str">
        <f t="shared" si="3"/>
        <v>ΑΤΤΙΚΗΣ</v>
      </c>
      <c r="K27" t="str">
        <f t="shared" si="4"/>
        <v>ΑΓΙΩΝ ΑΝΑΡΓΥΡΩΝ – ΚΑΜΑΤΕΡΟΥ</v>
      </c>
      <c r="L27" s="170" t="s">
        <v>419</v>
      </c>
      <c r="M27" t="str">
        <f t="shared" si="0"/>
        <v xml:space="preserve">ΑΤΤΙΚΗΣ - ΑΓΙΩΝ ΑΝΑΡΓΥΡΩΝ – ΚΑΜΑΤΕΡΟΥ, </v>
      </c>
      <c r="N27"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v>
      </c>
    </row>
    <row r="28" spans="1:14" x14ac:dyDescent="0.25">
      <c r="A28">
        <v>27</v>
      </c>
      <c r="B28" t="s">
        <v>40</v>
      </c>
      <c r="C28" t="s">
        <v>372</v>
      </c>
      <c r="D28" t="s">
        <v>108</v>
      </c>
      <c r="E28" s="204" t="s">
        <v>602</v>
      </c>
      <c r="F28" s="204">
        <v>13934</v>
      </c>
      <c r="G28" t="str">
        <f>LOOKUP(B28,ΠΕΡΙΦΕΡΕΙΑ!$A$2:$A$14,ΠΕΡΙΦΕΡΕΙΑ!$B$2:$B$14)</f>
        <v>Μερική</v>
      </c>
      <c r="H28">
        <f t="shared" si="1"/>
        <v>27</v>
      </c>
      <c r="I28">
        <f t="shared" si="2"/>
        <v>27</v>
      </c>
      <c r="J28" t="str">
        <f t="shared" si="3"/>
        <v>ΑΤΤΙΚΗΣ</v>
      </c>
      <c r="K28" t="str">
        <f t="shared" si="4"/>
        <v>ΑΓΚΙΣΤΡΙΟΥ</v>
      </c>
      <c r="L28" s="170" t="s">
        <v>420</v>
      </c>
      <c r="M28" t="str">
        <f t="shared" si="0"/>
        <v/>
      </c>
      <c r="N28"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v>
      </c>
    </row>
    <row r="29" spans="1:14" x14ac:dyDescent="0.25">
      <c r="A29">
        <v>28</v>
      </c>
      <c r="B29" t="s">
        <v>40</v>
      </c>
      <c r="C29" t="s">
        <v>371</v>
      </c>
      <c r="D29" t="s">
        <v>100</v>
      </c>
      <c r="E29" s="204" t="s">
        <v>603</v>
      </c>
      <c r="F29" s="204">
        <v>13944</v>
      </c>
      <c r="G29" t="str">
        <f>LOOKUP(B29,ΠΕΡΙΦΕΡΕΙΑ!$A$2:$A$14,ΠΕΡΙΦΕΡΕΙΑ!$B$2:$B$14)</f>
        <v>Μερική</v>
      </c>
      <c r="H29">
        <f t="shared" si="1"/>
        <v>28</v>
      </c>
      <c r="I29">
        <f t="shared" si="2"/>
        <v>28</v>
      </c>
      <c r="J29" t="str">
        <f t="shared" si="3"/>
        <v>ΑΤΤΙΚΗΣ</v>
      </c>
      <c r="K29" t="str">
        <f t="shared" si="4"/>
        <v>ΑΘΗΝΑΙΩΝ</v>
      </c>
      <c r="L29" s="170" t="s">
        <v>419</v>
      </c>
      <c r="M29" t="str">
        <f t="shared" si="0"/>
        <v xml:space="preserve">ΑΤΤΙΚΗΣ - ΑΘΗΝΑΙΩΝ, </v>
      </c>
      <c r="N29"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v>
      </c>
    </row>
    <row r="30" spans="1:14" x14ac:dyDescent="0.25">
      <c r="A30">
        <v>29</v>
      </c>
      <c r="B30" t="s">
        <v>40</v>
      </c>
      <c r="C30" t="s">
        <v>370</v>
      </c>
      <c r="D30" t="s">
        <v>95</v>
      </c>
      <c r="E30" s="204" t="s">
        <v>604</v>
      </c>
      <c r="F30" s="204">
        <v>13946</v>
      </c>
      <c r="G30" t="str">
        <f>LOOKUP(B30,ΠΕΡΙΦΕΡΕΙΑ!$A$2:$A$14,ΠΕΡΙΦΕΡΕΙΑ!$B$2:$B$14)</f>
        <v>Μερική</v>
      </c>
      <c r="H30">
        <f t="shared" si="1"/>
        <v>29</v>
      </c>
      <c r="I30">
        <f t="shared" si="2"/>
        <v>29</v>
      </c>
      <c r="J30" t="str">
        <f t="shared" si="3"/>
        <v>ΑΤΤΙΚΗΣ</v>
      </c>
      <c r="K30" t="str">
        <f t="shared" si="4"/>
        <v>ΑΙΓΑΛΕΩ</v>
      </c>
      <c r="L30" s="170" t="s">
        <v>419</v>
      </c>
      <c r="M30" t="str">
        <f t="shared" si="0"/>
        <v xml:space="preserve">ΑΤΤΙΚΗΣ - ΑΙΓΑΛΕΩ, </v>
      </c>
      <c r="N30"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v>
      </c>
    </row>
    <row r="31" spans="1:14" x14ac:dyDescent="0.25">
      <c r="A31">
        <v>30</v>
      </c>
      <c r="B31" t="s">
        <v>40</v>
      </c>
      <c r="C31" t="s">
        <v>372</v>
      </c>
      <c r="D31" t="s">
        <v>109</v>
      </c>
      <c r="E31" s="204" t="s">
        <v>605</v>
      </c>
      <c r="F31" s="204">
        <v>13948</v>
      </c>
      <c r="G31" t="str">
        <f>LOOKUP(B31,ΠΕΡΙΦΕΡΕΙΑ!$A$2:$A$14,ΠΕΡΙΦΕΡΕΙΑ!$B$2:$B$14)</f>
        <v>Μερική</v>
      </c>
      <c r="H31">
        <f t="shared" si="1"/>
        <v>30</v>
      </c>
      <c r="I31">
        <f t="shared" si="2"/>
        <v>30</v>
      </c>
      <c r="J31" t="str">
        <f t="shared" si="3"/>
        <v>ΑΤΤΙΚΗΣ</v>
      </c>
      <c r="K31" t="str">
        <f t="shared" si="4"/>
        <v>ΑΙΓΙΝΑΣ</v>
      </c>
      <c r="L31" s="170" t="s">
        <v>419</v>
      </c>
      <c r="M31" t="str">
        <f t="shared" si="0"/>
        <v xml:space="preserve">ΑΤΤΙΚΗΣ - ΑΙΓΙΝΑΣ, </v>
      </c>
      <c r="N31"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v>
      </c>
    </row>
    <row r="32" spans="1:14" x14ac:dyDescent="0.25">
      <c r="A32">
        <v>31</v>
      </c>
      <c r="B32" t="s">
        <v>40</v>
      </c>
      <c r="C32" t="s">
        <v>373</v>
      </c>
      <c r="D32" t="s">
        <v>117</v>
      </c>
      <c r="E32" s="204" t="s">
        <v>606</v>
      </c>
      <c r="F32" s="204">
        <v>13956</v>
      </c>
      <c r="G32" t="str">
        <f>LOOKUP(B32,ΠΕΡΙΦΕΡΕΙΑ!$A$2:$A$14,ΠΕΡΙΦΕΡΕΙΑ!$B$2:$B$14)</f>
        <v>Μερική</v>
      </c>
      <c r="H32">
        <f t="shared" si="1"/>
        <v>31</v>
      </c>
      <c r="I32">
        <f t="shared" si="2"/>
        <v>31</v>
      </c>
      <c r="J32" t="str">
        <f t="shared" si="3"/>
        <v>ΑΤΤΙΚΗΣ</v>
      </c>
      <c r="K32" t="str">
        <f t="shared" si="4"/>
        <v>ΑΛΙΜΟΥ</v>
      </c>
      <c r="L32" s="170" t="s">
        <v>419</v>
      </c>
      <c r="M32" t="str">
        <f t="shared" si="0"/>
        <v xml:space="preserve">ΑΤΤΙΚΗΣ - ΑΛΙΜΟΥ, </v>
      </c>
      <c r="N32"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v>
      </c>
    </row>
    <row r="33" spans="1:14" x14ac:dyDescent="0.25">
      <c r="A33">
        <v>32</v>
      </c>
      <c r="B33" t="s">
        <v>40</v>
      </c>
      <c r="C33" t="s">
        <v>368</v>
      </c>
      <c r="D33" t="s">
        <v>77</v>
      </c>
      <c r="E33" s="204" t="s">
        <v>607</v>
      </c>
      <c r="F33" s="204">
        <v>13964</v>
      </c>
      <c r="G33" t="str">
        <f>LOOKUP(B33,ΠΕΡΙΦΕΡΕΙΑ!$A$2:$A$14,ΠΕΡΙΦΕΡΕΙΑ!$B$2:$B$14)</f>
        <v>Μερική</v>
      </c>
      <c r="H33">
        <f t="shared" si="1"/>
        <v>32</v>
      </c>
      <c r="I33">
        <f t="shared" si="2"/>
        <v>32</v>
      </c>
      <c r="J33" t="str">
        <f t="shared" si="3"/>
        <v>ΑΤΤΙΚΗΣ</v>
      </c>
      <c r="K33" t="str">
        <f t="shared" si="4"/>
        <v>ΑΜΑΡΟΥΣΙΟΥ</v>
      </c>
      <c r="L33" s="170" t="s">
        <v>419</v>
      </c>
      <c r="M33" t="str">
        <f t="shared" si="0"/>
        <v xml:space="preserve">ΑΤΤΙΚΗΣ - ΑΜΑΡΟΥΣΙΟΥ, </v>
      </c>
      <c r="N33"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v>
      </c>
    </row>
    <row r="34" spans="1:14" x14ac:dyDescent="0.25">
      <c r="A34">
        <v>33</v>
      </c>
      <c r="B34" t="s">
        <v>40</v>
      </c>
      <c r="C34" t="s">
        <v>369</v>
      </c>
      <c r="D34" t="s">
        <v>88</v>
      </c>
      <c r="E34" s="204" t="s">
        <v>608</v>
      </c>
      <c r="F34" s="204">
        <v>14004</v>
      </c>
      <c r="G34" t="str">
        <f>LOOKUP(B34,ΠΕΡΙΦΕΡΕΙΑ!$A$2:$A$14,ΠΕΡΙΦΕΡΕΙΑ!$B$2:$B$14)</f>
        <v>Μερική</v>
      </c>
      <c r="H34">
        <f t="shared" si="1"/>
        <v>33</v>
      </c>
      <c r="I34">
        <f t="shared" si="2"/>
        <v>33</v>
      </c>
      <c r="J34" t="str">
        <f t="shared" si="3"/>
        <v>ΑΤΤΙΚΗΣ</v>
      </c>
      <c r="K34" t="str">
        <f t="shared" si="4"/>
        <v>ΑΣΠΡΟΠΥΡΓΟΥ</v>
      </c>
      <c r="L34" s="170" t="s">
        <v>419</v>
      </c>
      <c r="M34" t="str">
        <f t="shared" si="0"/>
        <v xml:space="preserve">ΑΤΤΙΚΗΣ - ΑΣΠΡΟΠΥΡΓΟΥ, </v>
      </c>
      <c r="N34"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v>
      </c>
    </row>
    <row r="35" spans="1:14" x14ac:dyDescent="0.25">
      <c r="A35">
        <v>34</v>
      </c>
      <c r="B35" t="s">
        <v>40</v>
      </c>
      <c r="C35" t="s">
        <v>367</v>
      </c>
      <c r="D35" t="s">
        <v>63</v>
      </c>
      <c r="E35" s="204" t="s">
        <v>609</v>
      </c>
      <c r="F35" s="204">
        <v>14008</v>
      </c>
      <c r="G35" t="str">
        <f>LOOKUP(B35,ΠΕΡΙΦΕΡΕΙΑ!$A$2:$A$14,ΠΕΡΙΦΕΡΕΙΑ!$B$2:$B$14)</f>
        <v>Μερική</v>
      </c>
      <c r="H35">
        <f t="shared" si="1"/>
        <v>34</v>
      </c>
      <c r="I35">
        <f t="shared" si="2"/>
        <v>34</v>
      </c>
      <c r="J35" t="str">
        <f t="shared" si="3"/>
        <v>ΑΤΤΙΚΗΣ</v>
      </c>
      <c r="K35" t="str">
        <f t="shared" si="4"/>
        <v>ΑΧΑΡΝΩΝ</v>
      </c>
      <c r="L35" s="170" t="s">
        <v>419</v>
      </c>
      <c r="M35" t="str">
        <f t="shared" si="0"/>
        <v xml:space="preserve">ΑΤΤΙΚΗΣ - ΑΧΑΡΝΩΝ, </v>
      </c>
      <c r="N35"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v>
      </c>
    </row>
    <row r="36" spans="1:14" x14ac:dyDescent="0.25">
      <c r="A36">
        <v>35</v>
      </c>
      <c r="B36" t="s">
        <v>40</v>
      </c>
      <c r="C36" t="s">
        <v>367</v>
      </c>
      <c r="D36" t="s">
        <v>64</v>
      </c>
      <c r="E36" s="204" t="s">
        <v>610</v>
      </c>
      <c r="F36" s="204">
        <v>14010</v>
      </c>
      <c r="G36" t="str">
        <f>LOOKUP(B36,ΠΕΡΙΦΕΡΕΙΑ!$A$2:$A$14,ΠΕΡΙΦΕΡΕΙΑ!$B$2:$B$14)</f>
        <v>Μερική</v>
      </c>
      <c r="H36">
        <f t="shared" si="1"/>
        <v>35</v>
      </c>
      <c r="I36">
        <f t="shared" si="2"/>
        <v>35</v>
      </c>
      <c r="J36" t="str">
        <f t="shared" si="3"/>
        <v>ΑΤΤΙΚΗΣ</v>
      </c>
      <c r="K36" t="str">
        <f t="shared" si="4"/>
        <v>ΒΑΡΗΣ – ΒΟΥΛΑΣ – ΒΟΥΛΙΑΓΜΕΝΗΣ</v>
      </c>
      <c r="L36" s="170" t="s">
        <v>419</v>
      </c>
      <c r="M36" t="str">
        <f t="shared" si="0"/>
        <v xml:space="preserve">ΑΤΤΙΚΗΣ - ΒΑΡΗΣ – ΒΟΥΛΑΣ – ΒΟΥΛΙΑΓΜΕΝΗΣ, </v>
      </c>
      <c r="N36"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v>
      </c>
    </row>
    <row r="37" spans="1:14" x14ac:dyDescent="0.25">
      <c r="A37">
        <v>36</v>
      </c>
      <c r="B37" t="s">
        <v>40</v>
      </c>
      <c r="C37" t="s">
        <v>368</v>
      </c>
      <c r="D37" t="s">
        <v>78</v>
      </c>
      <c r="E37" s="204" t="s">
        <v>611</v>
      </c>
      <c r="F37" s="204">
        <v>14024</v>
      </c>
      <c r="G37" t="str">
        <f>LOOKUP(B37,ΠΕΡΙΦΕΡΕΙΑ!$A$2:$A$14,ΠΕΡΙΦΕΡΕΙΑ!$B$2:$B$14)</f>
        <v>Μερική</v>
      </c>
      <c r="H37">
        <f t="shared" si="1"/>
        <v>36</v>
      </c>
      <c r="I37">
        <f t="shared" si="2"/>
        <v>36</v>
      </c>
      <c r="J37" t="str">
        <f t="shared" si="3"/>
        <v>ΑΤΤΙΚΗΣ</v>
      </c>
      <c r="K37" t="str">
        <f t="shared" si="4"/>
        <v>ΒΡΙΛΗΣΣΙΩΝ</v>
      </c>
      <c r="L37" s="170" t="s">
        <v>419</v>
      </c>
      <c r="M37" t="str">
        <f t="shared" si="0"/>
        <v xml:space="preserve">ΑΤΤΙΚΗΣ - ΒΡΙΛΗΣΣΙΩΝ, </v>
      </c>
      <c r="N37"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v>
      </c>
    </row>
    <row r="38" spans="1:14" x14ac:dyDescent="0.25">
      <c r="A38">
        <v>37</v>
      </c>
      <c r="B38" t="s">
        <v>40</v>
      </c>
      <c r="C38" t="s">
        <v>371</v>
      </c>
      <c r="D38" t="s">
        <v>101</v>
      </c>
      <c r="E38" s="204" t="s">
        <v>612</v>
      </c>
      <c r="F38" s="204">
        <v>14032</v>
      </c>
      <c r="G38" t="str">
        <f>LOOKUP(B38,ΠΕΡΙΦΕΡΕΙΑ!$A$2:$A$14,ΠΕΡΙΦΕΡΕΙΑ!$B$2:$B$14)</f>
        <v>Μερική</v>
      </c>
      <c r="H38">
        <f t="shared" si="1"/>
        <v>37</v>
      </c>
      <c r="I38">
        <f t="shared" si="2"/>
        <v>37</v>
      </c>
      <c r="J38" t="str">
        <f t="shared" si="3"/>
        <v>ΑΤΤΙΚΗΣ</v>
      </c>
      <c r="K38" t="str">
        <f t="shared" si="4"/>
        <v>ΒΥΡΩΝΟΣ</v>
      </c>
      <c r="L38" s="170" t="s">
        <v>419</v>
      </c>
      <c r="M38" t="str">
        <f t="shared" si="0"/>
        <v xml:space="preserve">ΑΤΤΙΚΗΣ - ΒΥΡΩΝΟΣ, </v>
      </c>
      <c r="N38"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v>
      </c>
    </row>
    <row r="39" spans="1:14" x14ac:dyDescent="0.25">
      <c r="A39">
        <v>38</v>
      </c>
      <c r="B39" t="s">
        <v>40</v>
      </c>
      <c r="C39" t="s">
        <v>371</v>
      </c>
      <c r="D39" t="s">
        <v>102</v>
      </c>
      <c r="E39" s="204" t="s">
        <v>613</v>
      </c>
      <c r="F39" s="204">
        <v>14036</v>
      </c>
      <c r="G39" t="str">
        <f>LOOKUP(B39,ΠΕΡΙΦΕΡΕΙΑ!$A$2:$A$14,ΠΕΡΙΦΕΡΕΙΑ!$B$2:$B$14)</f>
        <v>Μερική</v>
      </c>
      <c r="H39">
        <f t="shared" si="1"/>
        <v>38</v>
      </c>
      <c r="I39">
        <f t="shared" si="2"/>
        <v>38</v>
      </c>
      <c r="J39" t="str">
        <f t="shared" si="3"/>
        <v>ΑΤΤΙΚΗΣ</v>
      </c>
      <c r="K39" t="str">
        <f t="shared" si="4"/>
        <v>ΓΑΛΑΤΣΙΟΥ</v>
      </c>
      <c r="L39" s="170" t="s">
        <v>419</v>
      </c>
      <c r="M39" t="str">
        <f t="shared" si="0"/>
        <v xml:space="preserve">ΑΤΤΙΚΗΣ - ΓΑΛΑΤΣΙΟΥ, </v>
      </c>
      <c r="N39"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v>
      </c>
    </row>
    <row r="40" spans="1:14" x14ac:dyDescent="0.25">
      <c r="A40">
        <v>39</v>
      </c>
      <c r="B40" t="s">
        <v>40</v>
      </c>
      <c r="C40" t="s">
        <v>373</v>
      </c>
      <c r="D40" t="s">
        <v>118</v>
      </c>
      <c r="E40" s="204" t="s">
        <v>614</v>
      </c>
      <c r="F40" s="204">
        <v>14040</v>
      </c>
      <c r="G40" t="str">
        <f>LOOKUP(B40,ΠΕΡΙΦΕΡΕΙΑ!$A$2:$A$14,ΠΕΡΙΦΕΡΕΙΑ!$B$2:$B$14)</f>
        <v>Μερική</v>
      </c>
      <c r="H40">
        <f t="shared" si="1"/>
        <v>39</v>
      </c>
      <c r="I40">
        <f t="shared" si="2"/>
        <v>39</v>
      </c>
      <c r="J40" t="str">
        <f t="shared" si="3"/>
        <v>ΑΤΤΙΚΗΣ</v>
      </c>
      <c r="K40" t="str">
        <f t="shared" si="4"/>
        <v>ΓΛΥΦΑΔΑΣ</v>
      </c>
      <c r="L40" s="170" t="s">
        <v>419</v>
      </c>
      <c r="M40" t="str">
        <f t="shared" si="0"/>
        <v xml:space="preserve">ΑΤΤΙΚΗΣ - ΓΛΥΦΑΔΑΣ, </v>
      </c>
      <c r="N40"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v>
      </c>
    </row>
    <row r="41" spans="1:14" x14ac:dyDescent="0.25">
      <c r="A41">
        <v>40</v>
      </c>
      <c r="B41" t="s">
        <v>40</v>
      </c>
      <c r="C41" t="s">
        <v>371</v>
      </c>
      <c r="D41" t="s">
        <v>103</v>
      </c>
      <c r="E41" s="204" t="s">
        <v>615</v>
      </c>
      <c r="F41" s="204">
        <v>14048</v>
      </c>
      <c r="G41" t="str">
        <f>LOOKUP(B41,ΠΕΡΙΦΕΡΕΙΑ!$A$2:$A$14,ΠΕΡΙΦΕΡΕΙΑ!$B$2:$B$14)</f>
        <v>Μερική</v>
      </c>
      <c r="H41">
        <f t="shared" si="1"/>
        <v>40</v>
      </c>
      <c r="I41">
        <f t="shared" si="2"/>
        <v>40</v>
      </c>
      <c r="J41" t="str">
        <f t="shared" si="3"/>
        <v>ΑΤΤΙΚΗΣ</v>
      </c>
      <c r="K41" t="str">
        <f t="shared" si="4"/>
        <v>ΔΑΦΝΗΣ – ΥΜΗΤΤΟΥ</v>
      </c>
      <c r="L41" s="170" t="s">
        <v>419</v>
      </c>
      <c r="M41" t="str">
        <f t="shared" si="0"/>
        <v xml:space="preserve">ΑΤΤΙΚΗΣ - ΔΑΦΝΗΣ – ΥΜΗΤΤΟΥ, </v>
      </c>
      <c r="N41"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v>
      </c>
    </row>
    <row r="42" spans="1:14" x14ac:dyDescent="0.25">
      <c r="A42">
        <v>41</v>
      </c>
      <c r="B42" t="s">
        <v>40</v>
      </c>
      <c r="C42" t="s">
        <v>367</v>
      </c>
      <c r="D42" t="s">
        <v>65</v>
      </c>
      <c r="E42" s="204" t="s">
        <v>616</v>
      </c>
      <c r="F42" s="204">
        <v>14060</v>
      </c>
      <c r="G42" t="str">
        <f>LOOKUP(B42,ΠΕΡΙΦΕΡΕΙΑ!$A$2:$A$14,ΠΕΡΙΦΕΡΕΙΑ!$B$2:$B$14)</f>
        <v>Μερική</v>
      </c>
      <c r="H42">
        <f t="shared" si="1"/>
        <v>41</v>
      </c>
      <c r="I42">
        <f t="shared" si="2"/>
        <v>41</v>
      </c>
      <c r="J42" t="str">
        <f t="shared" si="3"/>
        <v>ΑΤΤΙΚΗΣ</v>
      </c>
      <c r="K42" t="str">
        <f t="shared" si="4"/>
        <v>ΔΙΟΝΥΣΟΥ</v>
      </c>
      <c r="L42" s="170" t="s">
        <v>420</v>
      </c>
      <c r="M42" t="str">
        <f t="shared" si="0"/>
        <v/>
      </c>
      <c r="N42"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v>
      </c>
    </row>
    <row r="43" spans="1:14" x14ac:dyDescent="0.25">
      <c r="A43">
        <v>42</v>
      </c>
      <c r="B43" t="s">
        <v>40</v>
      </c>
      <c r="C43" t="s">
        <v>369</v>
      </c>
      <c r="D43" t="s">
        <v>89</v>
      </c>
      <c r="E43" s="204" t="s">
        <v>617</v>
      </c>
      <c r="F43" s="204">
        <v>14084</v>
      </c>
      <c r="G43" t="str">
        <f>LOOKUP(B43,ΠΕΡΙΦΕΡΕΙΑ!$A$2:$A$14,ΠΕΡΙΦΕΡΕΙΑ!$B$2:$B$14)</f>
        <v>Μερική</v>
      </c>
      <c r="H43">
        <f t="shared" si="1"/>
        <v>42</v>
      </c>
      <c r="I43">
        <f t="shared" si="2"/>
        <v>42</v>
      </c>
      <c r="J43" t="str">
        <f t="shared" si="3"/>
        <v>ΑΤΤΙΚΗΣ</v>
      </c>
      <c r="K43" t="str">
        <f t="shared" si="4"/>
        <v>ΕΛΕΥΣΙΝΑΣ</v>
      </c>
      <c r="L43" s="170" t="s">
        <v>419</v>
      </c>
      <c r="M43" t="str">
        <f t="shared" si="0"/>
        <v xml:space="preserve">ΑΤΤΙΚΗΣ - ΕΛΕΥΣΙΝΑΣ, </v>
      </c>
      <c r="N43"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v>
      </c>
    </row>
    <row r="44" spans="1:14" x14ac:dyDescent="0.25">
      <c r="A44">
        <v>43</v>
      </c>
      <c r="B44" t="s">
        <v>40</v>
      </c>
      <c r="C44" t="s">
        <v>373</v>
      </c>
      <c r="D44" t="s">
        <v>119</v>
      </c>
      <c r="E44" s="204" t="s">
        <v>618</v>
      </c>
      <c r="F44" s="204">
        <v>14086</v>
      </c>
      <c r="G44" t="str">
        <f>LOOKUP(B44,ΠΕΡΙΦΕΡΕΙΑ!$A$2:$A$14,ΠΕΡΙΦΕΡΕΙΑ!$B$2:$B$14)</f>
        <v>Μερική</v>
      </c>
      <c r="H44">
        <f t="shared" si="1"/>
        <v>43</v>
      </c>
      <c r="I44">
        <f t="shared" si="2"/>
        <v>43</v>
      </c>
      <c r="J44" t="str">
        <f t="shared" si="3"/>
        <v>ΑΤΤΙΚΗΣ</v>
      </c>
      <c r="K44" t="str">
        <f t="shared" si="4"/>
        <v>ΕΛΛΗΝΙΚΟΥ – ΑΡΓΥΡΟΥΠΟΛΗΣ</v>
      </c>
      <c r="L44" s="170" t="s">
        <v>419</v>
      </c>
      <c r="M44" t="str">
        <f t="shared" si="0"/>
        <v xml:space="preserve">ΑΤΤΙΚΗΣ - ΕΛΛΗΝΙΚΟΥ – ΑΡΓΥΡΟΥΠΟΛΗΣ, </v>
      </c>
      <c r="N44"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v>
      </c>
    </row>
    <row r="45" spans="1:14" x14ac:dyDescent="0.25">
      <c r="A45">
        <v>44</v>
      </c>
      <c r="B45" t="s">
        <v>40</v>
      </c>
      <c r="C45" t="s">
        <v>371</v>
      </c>
      <c r="D45" t="s">
        <v>104</v>
      </c>
      <c r="E45" s="204" t="s">
        <v>619</v>
      </c>
      <c r="F45" s="204">
        <v>14116</v>
      </c>
      <c r="G45" t="str">
        <f>LOOKUP(B45,ΠΕΡΙΦΕΡΕΙΑ!$A$2:$A$14,ΠΕΡΙΦΕΡΕΙΑ!$B$2:$B$14)</f>
        <v>Μερική</v>
      </c>
      <c r="H45">
        <f t="shared" si="1"/>
        <v>44</v>
      </c>
      <c r="I45">
        <f t="shared" si="2"/>
        <v>44</v>
      </c>
      <c r="J45" t="str">
        <f t="shared" si="3"/>
        <v>ΑΤΤΙΚΗΣ</v>
      </c>
      <c r="K45" t="str">
        <f t="shared" si="4"/>
        <v>ΖΩΓΡΑΦΟΥ</v>
      </c>
      <c r="L45" s="170" t="s">
        <v>419</v>
      </c>
      <c r="M45" t="str">
        <f t="shared" si="0"/>
        <v xml:space="preserve">ΑΤΤΙΚΗΣ - ΖΩΓΡΑΦΟΥ, </v>
      </c>
      <c r="N45"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v>
      </c>
    </row>
    <row r="46" spans="1:14" x14ac:dyDescent="0.25">
      <c r="A46">
        <v>45</v>
      </c>
      <c r="B46" t="s">
        <v>40</v>
      </c>
      <c r="C46" t="s">
        <v>371</v>
      </c>
      <c r="D46" t="s">
        <v>105</v>
      </c>
      <c r="E46" s="204" t="s">
        <v>620</v>
      </c>
      <c r="F46" s="204">
        <v>14120</v>
      </c>
      <c r="G46" t="str">
        <f>LOOKUP(B46,ΠΕΡΙΦΕΡΕΙΑ!$A$2:$A$14,ΠΕΡΙΦΕΡΕΙΑ!$B$2:$B$14)</f>
        <v>Μερική</v>
      </c>
      <c r="H46">
        <f t="shared" si="1"/>
        <v>45</v>
      </c>
      <c r="I46">
        <f t="shared" si="2"/>
        <v>45</v>
      </c>
      <c r="J46" t="str">
        <f t="shared" si="3"/>
        <v>ΑΤΤΙΚΗΣ</v>
      </c>
      <c r="K46" t="str">
        <f t="shared" si="4"/>
        <v>ΗΛΙΟΥΠΟΛΕΩΣ</v>
      </c>
      <c r="L46" s="170" t="s">
        <v>419</v>
      </c>
      <c r="M46" t="str">
        <f t="shared" si="0"/>
        <v xml:space="preserve">ΑΤΤΙΚΗΣ - ΗΛΙΟΥΠΟΛΕΩΣ, </v>
      </c>
      <c r="N46"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v>
      </c>
    </row>
    <row r="47" spans="1:14" x14ac:dyDescent="0.25">
      <c r="A47">
        <v>46</v>
      </c>
      <c r="B47" t="s">
        <v>40</v>
      </c>
      <c r="C47" t="s">
        <v>368</v>
      </c>
      <c r="D47" t="s">
        <v>79</v>
      </c>
      <c r="E47" s="204"/>
      <c r="F47" s="204"/>
      <c r="G47" t="str">
        <f>LOOKUP(B47,ΠΕΡΙΦΕΡΕΙΑ!$A$2:$A$14,ΠΕΡΙΦΕΡΕΙΑ!$B$2:$B$14)</f>
        <v>Μερική</v>
      </c>
      <c r="H47">
        <f t="shared" si="1"/>
        <v>46</v>
      </c>
      <c r="I47">
        <f t="shared" si="2"/>
        <v>46</v>
      </c>
      <c r="J47" t="str">
        <f t="shared" si="3"/>
        <v>ΑΤΤΙΚΗΣ</v>
      </c>
      <c r="K47" t="str">
        <f t="shared" si="4"/>
        <v>ΗΡΑΚΛΕΙΟΥ</v>
      </c>
      <c r="L47" s="170" t="s">
        <v>419</v>
      </c>
      <c r="M47" t="str">
        <f t="shared" si="0"/>
        <v xml:space="preserve">ΑΤΤΙΚΗΣ - ΗΡΑΚΛΕΙΟΥ, </v>
      </c>
      <c r="N47"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v>
      </c>
    </row>
    <row r="48" spans="1:14" x14ac:dyDescent="0.25">
      <c r="A48">
        <v>47</v>
      </c>
      <c r="B48" t="s">
        <v>40</v>
      </c>
      <c r="C48" t="s">
        <v>370</v>
      </c>
      <c r="D48" t="s">
        <v>96</v>
      </c>
      <c r="E48" s="204" t="s">
        <v>621</v>
      </c>
      <c r="F48" s="204">
        <v>14150</v>
      </c>
      <c r="G48" t="str">
        <f>LOOKUP(B48,ΠΕΡΙΦΕΡΕΙΑ!$A$2:$A$14,ΠΕΡΙΦΕΡΕΙΑ!$B$2:$B$14)</f>
        <v>Μερική</v>
      </c>
      <c r="H48">
        <f t="shared" si="1"/>
        <v>47</v>
      </c>
      <c r="I48">
        <f t="shared" si="2"/>
        <v>47</v>
      </c>
      <c r="J48" t="str">
        <f t="shared" si="3"/>
        <v>ΑΤΤΙΚΗΣ</v>
      </c>
      <c r="K48" t="str">
        <f t="shared" si="4"/>
        <v>ΙΛΙΟΥ</v>
      </c>
      <c r="L48" s="170" t="s">
        <v>419</v>
      </c>
      <c r="M48" t="str">
        <f t="shared" si="0"/>
        <v xml:space="preserve">ΑΤΤΙΚΗΣ - ΙΛΙΟΥ, </v>
      </c>
      <c r="N48"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v>
      </c>
    </row>
    <row r="49" spans="1:14" x14ac:dyDescent="0.25">
      <c r="A49">
        <v>48</v>
      </c>
      <c r="B49" t="s">
        <v>40</v>
      </c>
      <c r="C49" t="s">
        <v>371</v>
      </c>
      <c r="D49" t="s">
        <v>106</v>
      </c>
      <c r="E49" s="204" t="s">
        <v>622</v>
      </c>
      <c r="F49" s="204">
        <v>14158</v>
      </c>
      <c r="G49" t="str">
        <f>LOOKUP(B49,ΠΕΡΙΦΕΡΕΙΑ!$A$2:$A$14,ΠΕΡΙΦΕΡΕΙΑ!$B$2:$B$14)</f>
        <v>Μερική</v>
      </c>
      <c r="H49">
        <f t="shared" si="1"/>
        <v>48</v>
      </c>
      <c r="I49">
        <f t="shared" si="2"/>
        <v>48</v>
      </c>
      <c r="J49" t="str">
        <f t="shared" si="3"/>
        <v>ΑΤΤΙΚΗΣ</v>
      </c>
      <c r="K49" t="str">
        <f t="shared" si="4"/>
        <v>ΚΑΙΣΑΡΙΑΝΗΣ</v>
      </c>
      <c r="L49" s="170" t="s">
        <v>419</v>
      </c>
      <c r="M49" t="str">
        <f t="shared" si="0"/>
        <v xml:space="preserve">ΑΤΤΙΚΗΣ - ΚΑΙΣΑΡΙΑΝΗΣ, </v>
      </c>
      <c r="N49"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v>
      </c>
    </row>
    <row r="50" spans="1:14" x14ac:dyDescent="0.25">
      <c r="A50">
        <v>49</v>
      </c>
      <c r="B50" t="s">
        <v>40</v>
      </c>
      <c r="C50" t="s">
        <v>373</v>
      </c>
      <c r="D50" t="s">
        <v>120</v>
      </c>
      <c r="E50" s="204" t="s">
        <v>623</v>
      </c>
      <c r="F50" s="204">
        <v>14180</v>
      </c>
      <c r="G50" t="str">
        <f>LOOKUP(B50,ΠΕΡΙΦΕΡΕΙΑ!$A$2:$A$14,ΠΕΡΙΦΕΡΕΙΑ!$B$2:$B$14)</f>
        <v>Μερική</v>
      </c>
      <c r="H50">
        <f t="shared" si="1"/>
        <v>49</v>
      </c>
      <c r="I50">
        <f t="shared" si="2"/>
        <v>49</v>
      </c>
      <c r="J50" t="str">
        <f t="shared" si="3"/>
        <v>ΑΤΤΙΚΗΣ</v>
      </c>
      <c r="K50" t="str">
        <f t="shared" si="4"/>
        <v>ΚΑΛΛΙΘΕΑΣ</v>
      </c>
      <c r="L50" s="170" t="s">
        <v>419</v>
      </c>
      <c r="M50" t="str">
        <f t="shared" si="0"/>
        <v xml:space="preserve">ΑΤΤΙΚΗΣ - ΚΑΛΛΙΘΕΑΣ, </v>
      </c>
      <c r="N50"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v>
      </c>
    </row>
    <row r="51" spans="1:14" x14ac:dyDescent="0.25">
      <c r="A51">
        <v>50</v>
      </c>
      <c r="B51" t="s">
        <v>40</v>
      </c>
      <c r="C51" t="s">
        <v>127</v>
      </c>
      <c r="D51" t="s">
        <v>124</v>
      </c>
      <c r="E51" s="204" t="s">
        <v>624</v>
      </c>
      <c r="F51" s="204">
        <v>14164</v>
      </c>
      <c r="G51" t="str">
        <f>LOOKUP(B51,ΠΕΡΙΦΕΡΕΙΑ!$A$2:$A$14,ΠΕΡΙΦΕΡΕΙΑ!$B$2:$B$14)</f>
        <v>Μερική</v>
      </c>
      <c r="H51">
        <f t="shared" si="1"/>
        <v>50</v>
      </c>
      <c r="I51">
        <f t="shared" si="2"/>
        <v>50</v>
      </c>
      <c r="J51" t="str">
        <f t="shared" si="3"/>
        <v>ΑΤΤΙΚΗΣ</v>
      </c>
      <c r="K51" t="str">
        <f t="shared" si="4"/>
        <v>ΚΕΡΑΤΣΙΝΙΟΥ – ΔΡΑΠΕΤΣΩΝΑΣ</v>
      </c>
      <c r="L51" s="170" t="s">
        <v>419</v>
      </c>
      <c r="M51" t="str">
        <f t="shared" si="0"/>
        <v xml:space="preserve">ΑΤΤΙΚΗΣ - ΚΕΡΑΤΣΙΝΙΟΥ – ΔΡΑΠΕΤΣΩΝΑΣ, </v>
      </c>
      <c r="N51"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v>
      </c>
    </row>
    <row r="52" spans="1:14" x14ac:dyDescent="0.25">
      <c r="A52">
        <v>51</v>
      </c>
      <c r="B52" t="s">
        <v>40</v>
      </c>
      <c r="C52" t="s">
        <v>368</v>
      </c>
      <c r="D52" t="s">
        <v>80</v>
      </c>
      <c r="E52" s="204" t="s">
        <v>625</v>
      </c>
      <c r="F52" s="204">
        <v>14166</v>
      </c>
      <c r="G52" t="str">
        <f>LOOKUP(B52,ΠΕΡΙΦΕΡΕΙΑ!$A$2:$A$14,ΠΕΡΙΦΕΡΕΙΑ!$B$2:$B$14)</f>
        <v>Μερική</v>
      </c>
      <c r="H52">
        <f t="shared" si="1"/>
        <v>51</v>
      </c>
      <c r="I52">
        <f t="shared" si="2"/>
        <v>51</v>
      </c>
      <c r="J52" t="str">
        <f t="shared" si="3"/>
        <v>ΑΤΤΙΚΗΣ</v>
      </c>
      <c r="K52" t="str">
        <f t="shared" si="4"/>
        <v>ΚΗΦΙΣΙΑΣ</v>
      </c>
      <c r="L52" s="170" t="s">
        <v>419</v>
      </c>
      <c r="M52" t="str">
        <f t="shared" si="0"/>
        <v xml:space="preserve">ΑΤΤΙΚΗΣ - ΚΗΦΙΣΙΑΣ, </v>
      </c>
      <c r="N52"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v>
      </c>
    </row>
    <row r="53" spans="1:14" x14ac:dyDescent="0.25">
      <c r="A53">
        <v>52</v>
      </c>
      <c r="B53" t="s">
        <v>40</v>
      </c>
      <c r="C53" t="s">
        <v>127</v>
      </c>
      <c r="D53" t="s">
        <v>125</v>
      </c>
      <c r="E53" s="204" t="s">
        <v>626</v>
      </c>
      <c r="F53" s="204">
        <v>14226</v>
      </c>
      <c r="G53" t="str">
        <f>LOOKUP(B53,ΠΕΡΙΦΕΡΕΙΑ!$A$2:$A$14,ΠΕΡΙΦΕΡΕΙΑ!$B$2:$B$14)</f>
        <v>Μερική</v>
      </c>
      <c r="H53">
        <f t="shared" si="1"/>
        <v>52</v>
      </c>
      <c r="I53">
        <f t="shared" si="2"/>
        <v>52</v>
      </c>
      <c r="J53" t="str">
        <f t="shared" si="3"/>
        <v>ΑΤΤΙΚΗΣ</v>
      </c>
      <c r="K53" t="str">
        <f t="shared" si="4"/>
        <v>ΚΟΡΥΔΑΛΛΟΥ</v>
      </c>
      <c r="L53" s="170" t="s">
        <v>419</v>
      </c>
      <c r="M53" t="str">
        <f t="shared" si="0"/>
        <v xml:space="preserve">ΑΤΤΙΚΗΣ - ΚΟΡΥΔΑΛΛΟΥ, </v>
      </c>
      <c r="N53"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v>
      </c>
    </row>
    <row r="54" spans="1:14" x14ac:dyDescent="0.25">
      <c r="A54">
        <v>53</v>
      </c>
      <c r="B54" t="s">
        <v>40</v>
      </c>
      <c r="C54" t="s">
        <v>367</v>
      </c>
      <c r="D54" t="s">
        <v>66</v>
      </c>
      <c r="E54" s="204" t="s">
        <v>627</v>
      </c>
      <c r="F54" s="204">
        <v>14228</v>
      </c>
      <c r="G54" t="str">
        <f>LOOKUP(B54,ΠΕΡΙΦΕΡΕΙΑ!$A$2:$A$14,ΠΕΡΙΦΕΡΕΙΑ!$B$2:$B$14)</f>
        <v>Μερική</v>
      </c>
      <c r="H54">
        <f t="shared" si="1"/>
        <v>53</v>
      </c>
      <c r="I54">
        <f t="shared" si="2"/>
        <v>53</v>
      </c>
      <c r="J54" t="str">
        <f t="shared" si="3"/>
        <v>ΑΤΤΙΚΗΣ</v>
      </c>
      <c r="K54" t="str">
        <f t="shared" si="4"/>
        <v>ΚΡΩΠΙΑΣ</v>
      </c>
      <c r="L54" s="170" t="s">
        <v>419</v>
      </c>
      <c r="M54" t="str">
        <f t="shared" si="0"/>
        <v xml:space="preserve">ΑΤΤΙΚΗΣ - ΚΡΩΠΙΑΣ, </v>
      </c>
      <c r="N54"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v>
      </c>
    </row>
    <row r="55" spans="1:14" x14ac:dyDescent="0.25">
      <c r="A55">
        <v>54</v>
      </c>
      <c r="B55" t="s">
        <v>40</v>
      </c>
      <c r="C55" t="s">
        <v>372</v>
      </c>
      <c r="D55" t="s">
        <v>110</v>
      </c>
      <c r="E55" s="204" t="s">
        <v>628</v>
      </c>
      <c r="F55" s="204">
        <v>14230</v>
      </c>
      <c r="G55" t="str">
        <f>LOOKUP(B55,ΠΕΡΙΦΕΡΕΙΑ!$A$2:$A$14,ΠΕΡΙΦΕΡΕΙΑ!$B$2:$B$14)</f>
        <v>Μερική</v>
      </c>
      <c r="H55">
        <f t="shared" si="1"/>
        <v>54</v>
      </c>
      <c r="I55">
        <f t="shared" si="2"/>
        <v>54</v>
      </c>
      <c r="J55" t="str">
        <f t="shared" si="3"/>
        <v>ΑΤΤΙΚΗΣ</v>
      </c>
      <c r="K55" t="str">
        <f t="shared" si="4"/>
        <v>ΚΥΘΗΡΩΝ</v>
      </c>
      <c r="L55" s="170" t="s">
        <v>420</v>
      </c>
      <c r="M55" t="str">
        <f t="shared" si="0"/>
        <v/>
      </c>
      <c r="N55"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v>
      </c>
    </row>
    <row r="56" spans="1:14" x14ac:dyDescent="0.25">
      <c r="A56">
        <v>55</v>
      </c>
      <c r="B56" t="s">
        <v>40</v>
      </c>
      <c r="C56" t="s">
        <v>367</v>
      </c>
      <c r="D56" t="s">
        <v>67</v>
      </c>
      <c r="E56" s="204" t="s">
        <v>629</v>
      </c>
      <c r="F56" s="204">
        <v>14248</v>
      </c>
      <c r="G56" t="str">
        <f>LOOKUP(B56,ΠΕΡΙΦΕΡΕΙΑ!$A$2:$A$14,ΠΕΡΙΦΕΡΕΙΑ!$B$2:$B$14)</f>
        <v>Μερική</v>
      </c>
      <c r="H56">
        <f t="shared" si="1"/>
        <v>55</v>
      </c>
      <c r="I56">
        <f t="shared" si="2"/>
        <v>55</v>
      </c>
      <c r="J56" t="str">
        <f t="shared" si="3"/>
        <v>ΑΤΤΙΚΗΣ</v>
      </c>
      <c r="K56" t="str">
        <f t="shared" si="4"/>
        <v>ΛΑΥΡΕΩΤΙΚΗΣ</v>
      </c>
      <c r="L56" s="170" t="s">
        <v>419</v>
      </c>
      <c r="M56" t="str">
        <f t="shared" si="0"/>
        <v xml:space="preserve">ΑΤΤΙΚΗΣ - ΛΑΥΡΕΩΤΙΚΗΣ, </v>
      </c>
      <c r="N56"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v>
      </c>
    </row>
    <row r="57" spans="1:14" x14ac:dyDescent="0.25">
      <c r="A57">
        <v>56</v>
      </c>
      <c r="B57" t="s">
        <v>40</v>
      </c>
      <c r="C57" t="s">
        <v>368</v>
      </c>
      <c r="D57" t="s">
        <v>81</v>
      </c>
      <c r="E57" s="204" t="s">
        <v>630</v>
      </c>
      <c r="F57" s="204">
        <v>14260</v>
      </c>
      <c r="G57" t="str">
        <f>LOOKUP(B57,ΠΕΡΙΦΕΡΕΙΑ!$A$2:$A$14,ΠΕΡΙΦΕΡΕΙΑ!$B$2:$B$14)</f>
        <v>Μερική</v>
      </c>
      <c r="H57">
        <f t="shared" si="1"/>
        <v>56</v>
      </c>
      <c r="I57">
        <f t="shared" si="2"/>
        <v>56</v>
      </c>
      <c r="J57" t="str">
        <f t="shared" si="3"/>
        <v>ΑΤΤΙΚΗΣ</v>
      </c>
      <c r="K57" t="str">
        <f t="shared" si="4"/>
        <v>ΛΥΚΟΒΡΥΣΗΣ – ΠΕΥΚΗΣ</v>
      </c>
      <c r="L57" s="170" t="s">
        <v>419</v>
      </c>
      <c r="M57" t="str">
        <f t="shared" si="0"/>
        <v xml:space="preserve">ΑΤΤΙΚΗΣ - ΛΥΚΟΒΡΥΣΗΣ – ΠΕΥΚΗΣ, </v>
      </c>
      <c r="N57"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v>
      </c>
    </row>
    <row r="58" spans="1:14" x14ac:dyDescent="0.25">
      <c r="A58">
        <v>57</v>
      </c>
      <c r="B58" t="s">
        <v>40</v>
      </c>
      <c r="C58" t="s">
        <v>369</v>
      </c>
      <c r="D58" t="s">
        <v>90</v>
      </c>
      <c r="E58" s="204" t="s">
        <v>631</v>
      </c>
      <c r="F58" s="204">
        <v>14274</v>
      </c>
      <c r="G58" t="str">
        <f>LOOKUP(B58,ΠΕΡΙΦΕΡΕΙΑ!$A$2:$A$14,ΠΕΡΙΦΕΡΕΙΑ!$B$2:$B$14)</f>
        <v>Μερική</v>
      </c>
      <c r="H58">
        <f t="shared" si="1"/>
        <v>57</v>
      </c>
      <c r="I58">
        <f t="shared" si="2"/>
        <v>57</v>
      </c>
      <c r="J58" t="str">
        <f t="shared" si="3"/>
        <v>ΑΤΤΙΚΗΣ</v>
      </c>
      <c r="K58" t="str">
        <f t="shared" si="4"/>
        <v>ΜΑΝΔΡΑΣ – ΕΙΔΥΛΛΙΑΣ</v>
      </c>
      <c r="L58" s="170" t="s">
        <v>419</v>
      </c>
      <c r="M58" t="str">
        <f t="shared" si="0"/>
        <v xml:space="preserve">ΑΤΤΙΚΗΣ - ΜΑΝΔΡΑΣ – ΕΙΔΥΛΛΙΑΣ, </v>
      </c>
      <c r="N58"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v>
      </c>
    </row>
    <row r="59" spans="1:14" x14ac:dyDescent="0.25">
      <c r="A59">
        <v>58</v>
      </c>
      <c r="B59" t="s">
        <v>40</v>
      </c>
      <c r="C59" t="s">
        <v>367</v>
      </c>
      <c r="D59" t="s">
        <v>68</v>
      </c>
      <c r="E59" s="204" t="s">
        <v>632</v>
      </c>
      <c r="F59" s="204">
        <v>14266</v>
      </c>
      <c r="G59" t="str">
        <f>LOOKUP(B59,ΠΕΡΙΦΕΡΕΙΑ!$A$2:$A$14,ΠΕΡΙΦΕΡΕΙΑ!$B$2:$B$14)</f>
        <v>Μερική</v>
      </c>
      <c r="H59">
        <f t="shared" si="1"/>
        <v>58</v>
      </c>
      <c r="I59">
        <f t="shared" si="2"/>
        <v>58</v>
      </c>
      <c r="J59" t="str">
        <f t="shared" si="3"/>
        <v>ΑΤΤΙΚΗΣ</v>
      </c>
      <c r="K59" t="str">
        <f t="shared" si="4"/>
        <v>ΜΑΡΑΘΩΝΟΣ</v>
      </c>
      <c r="L59" s="170" t="s">
        <v>420</v>
      </c>
      <c r="M59" t="str">
        <f t="shared" si="0"/>
        <v/>
      </c>
      <c r="N59"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v>
      </c>
    </row>
    <row r="60" spans="1:14" x14ac:dyDescent="0.25">
      <c r="A60">
        <v>59</v>
      </c>
      <c r="B60" t="s">
        <v>40</v>
      </c>
      <c r="C60" t="s">
        <v>367</v>
      </c>
      <c r="D60" t="s">
        <v>69</v>
      </c>
      <c r="E60" s="204" t="s">
        <v>633</v>
      </c>
      <c r="F60" s="204">
        <v>14278</v>
      </c>
      <c r="G60" t="str">
        <f>LOOKUP(B60,ΠΕΡΙΦΕΡΕΙΑ!$A$2:$A$14,ΠΕΡΙΦΕΡΕΙΑ!$B$2:$B$14)</f>
        <v>Μερική</v>
      </c>
      <c r="H60">
        <f t="shared" si="1"/>
        <v>59</v>
      </c>
      <c r="I60">
        <f t="shared" si="2"/>
        <v>59</v>
      </c>
      <c r="J60" t="str">
        <f t="shared" si="3"/>
        <v>ΑΤΤΙΚΗΣ</v>
      </c>
      <c r="K60" t="str">
        <f t="shared" si="4"/>
        <v>ΜΑΡΚΟΠΟΥΛΟΥ ΜΕΣΟΓΑΙΑΣ</v>
      </c>
      <c r="L60" s="170" t="s">
        <v>419</v>
      </c>
      <c r="M60" t="str">
        <f t="shared" si="0"/>
        <v xml:space="preserve">ΑΤΤΙΚΗΣ - ΜΑΡΚΟΠΟΥΛΟΥ ΜΕΣΟΓΑΙΑΣ, </v>
      </c>
      <c r="N60"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v>
      </c>
    </row>
    <row r="61" spans="1:14" x14ac:dyDescent="0.25">
      <c r="A61">
        <v>60</v>
      </c>
      <c r="B61" t="s">
        <v>40</v>
      </c>
      <c r="C61" t="s">
        <v>369</v>
      </c>
      <c r="D61" t="s">
        <v>91</v>
      </c>
      <c r="E61" s="204" t="s">
        <v>634</v>
      </c>
      <c r="F61" s="204">
        <v>14288</v>
      </c>
      <c r="G61" t="str">
        <f>LOOKUP(B61,ΠΕΡΙΦΕΡΕΙΑ!$A$2:$A$14,ΠΕΡΙΦΕΡΕΙΑ!$B$2:$B$14)</f>
        <v>Μερική</v>
      </c>
      <c r="H61">
        <f t="shared" si="1"/>
        <v>60</v>
      </c>
      <c r="I61">
        <f t="shared" si="2"/>
        <v>60</v>
      </c>
      <c r="J61" t="str">
        <f t="shared" si="3"/>
        <v>ΑΤΤΙΚΗΣ</v>
      </c>
      <c r="K61" t="str">
        <f t="shared" si="4"/>
        <v>ΜΕΓΑΡΕΩΝ</v>
      </c>
      <c r="L61" s="170" t="s">
        <v>419</v>
      </c>
      <c r="M61" t="str">
        <f t="shared" si="0"/>
        <v xml:space="preserve">ΑΤΤΙΚΗΣ - ΜΕΓΑΡΕΩΝ, </v>
      </c>
      <c r="N61"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v>
      </c>
    </row>
    <row r="62" spans="1:14" x14ac:dyDescent="0.25">
      <c r="A62">
        <v>61</v>
      </c>
      <c r="B62" t="s">
        <v>40</v>
      </c>
      <c r="C62" t="s">
        <v>368</v>
      </c>
      <c r="D62" t="s">
        <v>82</v>
      </c>
      <c r="E62" s="204" t="s">
        <v>635</v>
      </c>
      <c r="F62" s="204">
        <v>14286</v>
      </c>
      <c r="G62" t="str">
        <f>LOOKUP(B62,ΠΕΡΙΦΕΡΕΙΑ!$A$2:$A$14,ΠΕΡΙΦΕΡΕΙΑ!$B$2:$B$14)</f>
        <v>Μερική</v>
      </c>
      <c r="H62">
        <f t="shared" si="1"/>
        <v>61</v>
      </c>
      <c r="I62">
        <f t="shared" si="2"/>
        <v>61</v>
      </c>
      <c r="J62" t="str">
        <f t="shared" si="3"/>
        <v>ΑΤΤΙΚΗΣ</v>
      </c>
      <c r="K62" t="str">
        <f t="shared" si="4"/>
        <v>ΜΕΤΑΜΟΡΦΩΣΕΩΣ</v>
      </c>
      <c r="L62" s="170" t="s">
        <v>419</v>
      </c>
      <c r="M62" t="str">
        <f t="shared" si="0"/>
        <v xml:space="preserve">ΑΤΤΙΚΗΣ - ΜΕΤΑΜΟΡΦΩΣΕΩΣ, </v>
      </c>
      <c r="N62"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v>
      </c>
    </row>
    <row r="63" spans="1:14" x14ac:dyDescent="0.25">
      <c r="A63">
        <v>62</v>
      </c>
      <c r="B63" t="s">
        <v>40</v>
      </c>
      <c r="C63" t="s">
        <v>373</v>
      </c>
      <c r="D63" t="s">
        <v>121</v>
      </c>
      <c r="E63" s="204" t="s">
        <v>636</v>
      </c>
      <c r="F63" s="204">
        <v>14300</v>
      </c>
      <c r="G63" t="str">
        <f>LOOKUP(B63,ΠΕΡΙΦΕΡΕΙΑ!$A$2:$A$14,ΠΕΡΙΦΕΡΕΙΑ!$B$2:$B$14)</f>
        <v>Μερική</v>
      </c>
      <c r="H63">
        <f t="shared" si="1"/>
        <v>62</v>
      </c>
      <c r="I63">
        <f t="shared" si="2"/>
        <v>62</v>
      </c>
      <c r="J63" t="str">
        <f t="shared" si="3"/>
        <v>ΑΤΤΙΚΗΣ</v>
      </c>
      <c r="K63" t="str">
        <f t="shared" si="4"/>
        <v>ΜΟΣΧΑΤΟΥ – ΤΑΥΡΟΥ</v>
      </c>
      <c r="L63" s="170" t="s">
        <v>419</v>
      </c>
      <c r="M63" t="str">
        <f t="shared" si="0"/>
        <v xml:space="preserve">ΑΤΤΙΚΗΣ - ΜΟΣΧΑΤΟΥ – ΤΑΥΡΟΥ, </v>
      </c>
      <c r="N63"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v>
      </c>
    </row>
    <row r="64" spans="1:14" x14ac:dyDescent="0.25">
      <c r="A64">
        <v>63</v>
      </c>
      <c r="B64" t="s">
        <v>40</v>
      </c>
      <c r="C64" t="s">
        <v>368</v>
      </c>
      <c r="D64" t="s">
        <v>83</v>
      </c>
      <c r="E64" s="204" t="s">
        <v>637</v>
      </c>
      <c r="F64" s="204">
        <v>14316</v>
      </c>
      <c r="G64" t="str">
        <f>LOOKUP(B64,ΠΕΡΙΦΕΡΕΙΑ!$A$2:$A$14,ΠΕΡΙΦΕΡΕΙΑ!$B$2:$B$14)</f>
        <v>Μερική</v>
      </c>
      <c r="H64">
        <f t="shared" si="1"/>
        <v>63</v>
      </c>
      <c r="I64">
        <f t="shared" si="2"/>
        <v>63</v>
      </c>
      <c r="J64" t="str">
        <f t="shared" si="3"/>
        <v>ΑΤΤΙΚΗΣ</v>
      </c>
      <c r="K64" t="str">
        <f t="shared" si="4"/>
        <v>ΝΕΑΣ ΙΩΝΙΑΣ</v>
      </c>
      <c r="L64" s="170" t="s">
        <v>419</v>
      </c>
      <c r="M64" t="str">
        <f t="shared" si="0"/>
        <v xml:space="preserve">ΑΤΤΙΚΗΣ - ΝΕΑΣ ΙΩΝΙΑΣ, </v>
      </c>
      <c r="N64"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v>
      </c>
    </row>
    <row r="65" spans="1:14" x14ac:dyDescent="0.25">
      <c r="A65">
        <v>64</v>
      </c>
      <c r="B65" t="s">
        <v>40</v>
      </c>
      <c r="C65" t="s">
        <v>373</v>
      </c>
      <c r="D65" t="s">
        <v>122</v>
      </c>
      <c r="E65" s="204" t="s">
        <v>638</v>
      </c>
      <c r="F65" s="204">
        <v>14320</v>
      </c>
      <c r="G65" t="str">
        <f>LOOKUP(B65,ΠΕΡΙΦΕΡΕΙΑ!$A$2:$A$14,ΠΕΡΙΦΕΡΕΙΑ!$B$2:$B$14)</f>
        <v>Μερική</v>
      </c>
      <c r="H65">
        <f t="shared" si="1"/>
        <v>64</v>
      </c>
      <c r="I65">
        <f t="shared" si="2"/>
        <v>64</v>
      </c>
      <c r="J65" t="str">
        <f t="shared" si="3"/>
        <v>ΑΤΤΙΚΗΣ</v>
      </c>
      <c r="K65" t="str">
        <f t="shared" si="4"/>
        <v>ΝΕΑΣ ΣΜΥΡΝΗΣ</v>
      </c>
      <c r="L65" s="170" t="s">
        <v>419</v>
      </c>
      <c r="M65" t="str">
        <f t="shared" si="0"/>
        <v xml:space="preserve">ΑΤΤΙΚΗΣ - ΝΕΑΣ ΣΜΥΡΝΗΣ, </v>
      </c>
      <c r="N65"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v>
      </c>
    </row>
    <row r="66" spans="1:14" x14ac:dyDescent="0.25">
      <c r="A66">
        <v>65</v>
      </c>
      <c r="B66" t="s">
        <v>40</v>
      </c>
      <c r="C66" t="s">
        <v>127</v>
      </c>
      <c r="D66" t="s">
        <v>126</v>
      </c>
      <c r="E66" s="204" t="s">
        <v>639</v>
      </c>
      <c r="F66" s="204">
        <v>14338</v>
      </c>
      <c r="G66" t="str">
        <f>LOOKUP(B66,ΠΕΡΙΦΕΡΕΙΑ!$A$2:$A$14,ΠΕΡΙΦΕΡΕΙΑ!$B$2:$B$14)</f>
        <v>Μερική</v>
      </c>
      <c r="H66">
        <f t="shared" si="1"/>
        <v>65</v>
      </c>
      <c r="I66">
        <f t="shared" si="2"/>
        <v>65</v>
      </c>
      <c r="J66" t="str">
        <f t="shared" si="3"/>
        <v>ΑΤΤΙΚΗΣ</v>
      </c>
      <c r="K66" t="str">
        <f t="shared" si="4"/>
        <v>ΝΙΚΑΙΑΣ – ΑΓΙΟΥ ΙΩΑΝΝΗ ΡΕΝΤΗ</v>
      </c>
      <c r="L66" s="170" t="s">
        <v>419</v>
      </c>
      <c r="M66" t="str">
        <f t="shared" ref="M66:M129" si="6">IF(K66&lt;&gt;"",IF(L66="ΝΑΙ",J66&amp;" - "&amp;K66&amp;", ",""),"")</f>
        <v xml:space="preserve">ΑΤΤΙΚΗΣ - ΝΙΚΑΙΑΣ – ΑΓΙΟΥ ΙΩΑΝΝΗ ΡΕΝΤΗ, </v>
      </c>
      <c r="N66"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v>
      </c>
    </row>
    <row r="67" spans="1:14" x14ac:dyDescent="0.25">
      <c r="A67">
        <v>66</v>
      </c>
      <c r="B67" t="s">
        <v>40</v>
      </c>
      <c r="C67" t="s">
        <v>367</v>
      </c>
      <c r="D67" t="s">
        <v>70</v>
      </c>
      <c r="E67" s="204" t="s">
        <v>640</v>
      </c>
      <c r="F67" s="204">
        <v>14362</v>
      </c>
      <c r="G67" t="str">
        <f>LOOKUP(B67,ΠΕΡΙΦΕΡΕΙΑ!$A$2:$A$14,ΠΕΡΙΦΕΡΕΙΑ!$B$2:$B$14)</f>
        <v>Μερική</v>
      </c>
      <c r="H67">
        <f t="shared" ref="H67:H130" si="7">IF(G67="Μερική",A67,"")</f>
        <v>66</v>
      </c>
      <c r="I67">
        <f t="shared" ref="I67:I130" si="8">SMALL(H:H,A67)</f>
        <v>66</v>
      </c>
      <c r="J67" t="str">
        <f t="shared" ref="J67:J130" si="9">IF(ISNUMBER(I67),LOOKUP(I67,A:A,B:B),"")</f>
        <v>ΑΤΤΙΚΗΣ</v>
      </c>
      <c r="K67" t="str">
        <f t="shared" ref="K67:K130" si="10">IF(ISNUMBER(I67),LOOKUP(I67,A:A,D:D),"")</f>
        <v>ΠΑΙΑΝΙΑΣ</v>
      </c>
      <c r="L67" s="170" t="s">
        <v>419</v>
      </c>
      <c r="M67" t="str">
        <f t="shared" si="6"/>
        <v xml:space="preserve">ΑΤΤΙΚΗΣ - ΠΑΙΑΝΙΑΣ, </v>
      </c>
      <c r="N67" t="str">
        <f t="shared" si="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v>
      </c>
    </row>
    <row r="68" spans="1:14" x14ac:dyDescent="0.25">
      <c r="A68">
        <v>67</v>
      </c>
      <c r="B68" t="s">
        <v>40</v>
      </c>
      <c r="C68" t="s">
        <v>373</v>
      </c>
      <c r="D68" t="s">
        <v>123</v>
      </c>
      <c r="E68" s="204" t="s">
        <v>641</v>
      </c>
      <c r="F68" s="204">
        <v>14386</v>
      </c>
      <c r="G68" t="str">
        <f>LOOKUP(B68,ΠΕΡΙΦΕΡΕΙΑ!$A$2:$A$14,ΠΕΡΙΦΕΡΕΙΑ!$B$2:$B$14)</f>
        <v>Μερική</v>
      </c>
      <c r="H68">
        <f t="shared" si="7"/>
        <v>67</v>
      </c>
      <c r="I68">
        <f t="shared" si="8"/>
        <v>67</v>
      </c>
      <c r="J68" t="str">
        <f t="shared" si="9"/>
        <v>ΑΤΤΙΚΗΣ</v>
      </c>
      <c r="K68" t="str">
        <f t="shared" si="10"/>
        <v>ΠΑΛΑΙΟΥ ΦΑΛΗΡΟΥ</v>
      </c>
      <c r="L68" s="170" t="s">
        <v>419</v>
      </c>
      <c r="M68" t="str">
        <f t="shared" si="6"/>
        <v xml:space="preserve">ΑΤΤΙΚΗΣ - ΠΑΛΑΙΟΥ ΦΑΛΗΡΟΥ, </v>
      </c>
      <c r="N68" t="str">
        <f t="shared" ref="N68:N131" si="11">N67&amp;M68</f>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v>
      </c>
    </row>
    <row r="69" spans="1:14" x14ac:dyDescent="0.25">
      <c r="A69">
        <v>68</v>
      </c>
      <c r="B69" t="s">
        <v>40</v>
      </c>
      <c r="C69" t="s">
        <v>367</v>
      </c>
      <c r="D69" t="s">
        <v>71</v>
      </c>
      <c r="E69" s="204" t="s">
        <v>642</v>
      </c>
      <c r="F69" s="204">
        <v>14390</v>
      </c>
      <c r="G69" t="str">
        <f>LOOKUP(B69,ΠΕΡΙΦΕΡΕΙΑ!$A$2:$A$14,ΠΕΡΙΦΕΡΕΙΑ!$B$2:$B$14)</f>
        <v>Μερική</v>
      </c>
      <c r="H69">
        <f t="shared" si="7"/>
        <v>68</v>
      </c>
      <c r="I69">
        <f t="shared" si="8"/>
        <v>68</v>
      </c>
      <c r="J69" t="str">
        <f t="shared" si="9"/>
        <v>ΑΤΤΙΚΗΣ</v>
      </c>
      <c r="K69" t="str">
        <f t="shared" si="10"/>
        <v>ΠΑΛΛΗΝΗΣ</v>
      </c>
      <c r="L69" s="170" t="s">
        <v>419</v>
      </c>
      <c r="M69" t="str">
        <f t="shared" si="6"/>
        <v xml:space="preserve">ΑΤΤΙΚΗΣ - ΠΑΛΛΗΝΗΣ, </v>
      </c>
      <c r="N69"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v>
      </c>
    </row>
    <row r="70" spans="1:14" x14ac:dyDescent="0.25">
      <c r="A70">
        <v>69</v>
      </c>
      <c r="B70" t="s">
        <v>40</v>
      </c>
      <c r="C70" t="s">
        <v>368</v>
      </c>
      <c r="D70" t="s">
        <v>84</v>
      </c>
      <c r="E70" s="204" t="s">
        <v>643</v>
      </c>
      <c r="F70" s="204">
        <v>14394</v>
      </c>
      <c r="G70" t="str">
        <f>LOOKUP(B70,ΠΕΡΙΦΕΡΕΙΑ!$A$2:$A$14,ΠΕΡΙΦΕΡΕΙΑ!$B$2:$B$14)</f>
        <v>Μερική</v>
      </c>
      <c r="H70">
        <f t="shared" si="7"/>
        <v>69</v>
      </c>
      <c r="I70">
        <f t="shared" si="8"/>
        <v>69</v>
      </c>
      <c r="J70" t="str">
        <f t="shared" si="9"/>
        <v>ΑΤΤΙΚΗΣ</v>
      </c>
      <c r="K70" t="str">
        <f t="shared" si="10"/>
        <v>ΠΑΠΑΓΟΥ – ΧΟΛΑΡΓΟΥ</v>
      </c>
      <c r="L70" s="170" t="s">
        <v>419</v>
      </c>
      <c r="M70" t="str">
        <f t="shared" si="6"/>
        <v xml:space="preserve">ΑΤΤΙΚΗΣ - ΠΑΠΑΓΟΥ – ΧΟΛΑΡΓΟΥ, </v>
      </c>
      <c r="N70"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v>
      </c>
    </row>
    <row r="71" spans="1:14" x14ac:dyDescent="0.25">
      <c r="A71">
        <v>70</v>
      </c>
      <c r="B71" t="s">
        <v>40</v>
      </c>
      <c r="C71" t="s">
        <v>127</v>
      </c>
      <c r="D71" t="s">
        <v>127</v>
      </c>
      <c r="E71" s="204" t="s">
        <v>644</v>
      </c>
      <c r="F71" s="204">
        <v>14402</v>
      </c>
      <c r="G71" t="str">
        <f>LOOKUP(B71,ΠΕΡΙΦΕΡΕΙΑ!$A$2:$A$14,ΠΕΡΙΦΕΡΕΙΑ!$B$2:$B$14)</f>
        <v>Μερική</v>
      </c>
      <c r="H71">
        <f t="shared" si="7"/>
        <v>70</v>
      </c>
      <c r="I71">
        <f t="shared" si="8"/>
        <v>70</v>
      </c>
      <c r="J71" t="str">
        <f t="shared" si="9"/>
        <v>ΑΤΤΙΚΗΣ</v>
      </c>
      <c r="K71" t="str">
        <f t="shared" si="10"/>
        <v>ΠΕΙΡΑΙΩΣ</v>
      </c>
      <c r="L71" s="170" t="s">
        <v>419</v>
      </c>
      <c r="M71" t="str">
        <f t="shared" si="6"/>
        <v xml:space="preserve">ΑΤΤΙΚΗΣ - ΠΕΙΡΑΙΩΣ, </v>
      </c>
      <c r="N71"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v>
      </c>
    </row>
    <row r="72" spans="1:14" x14ac:dyDescent="0.25">
      <c r="A72">
        <v>71</v>
      </c>
      <c r="B72" t="s">
        <v>40</v>
      </c>
      <c r="C72" t="s">
        <v>368</v>
      </c>
      <c r="D72" t="s">
        <v>85</v>
      </c>
      <c r="E72" s="204" t="s">
        <v>645</v>
      </c>
      <c r="F72" s="204">
        <v>14404</v>
      </c>
      <c r="G72" t="str">
        <f>LOOKUP(B72,ΠΕΡΙΦΕΡΕΙΑ!$A$2:$A$14,ΠΕΡΙΦΕΡΕΙΑ!$B$2:$B$14)</f>
        <v>Μερική</v>
      </c>
      <c r="H72">
        <f t="shared" si="7"/>
        <v>71</v>
      </c>
      <c r="I72">
        <f t="shared" si="8"/>
        <v>71</v>
      </c>
      <c r="J72" t="str">
        <f t="shared" si="9"/>
        <v>ΑΤΤΙΚΗΣ</v>
      </c>
      <c r="K72" t="str">
        <f t="shared" si="10"/>
        <v>ΠΕΝΤΕΛΗΣ</v>
      </c>
      <c r="L72" s="170" t="s">
        <v>419</v>
      </c>
      <c r="M72" t="str">
        <f t="shared" si="6"/>
        <v xml:space="preserve">ΑΤΤΙΚΗΣ - ΠΕΝΤΕΛΗΣ, </v>
      </c>
      <c r="N72"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v>
      </c>
    </row>
    <row r="73" spans="1:14" x14ac:dyDescent="0.25">
      <c r="A73">
        <v>72</v>
      </c>
      <c r="B73" t="s">
        <v>40</v>
      </c>
      <c r="C73" t="s">
        <v>127</v>
      </c>
      <c r="D73" t="s">
        <v>128</v>
      </c>
      <c r="E73" s="204" t="s">
        <v>646</v>
      </c>
      <c r="F73" s="204">
        <v>14370</v>
      </c>
      <c r="G73" t="str">
        <f>LOOKUP(B73,ΠΕΡΙΦΕΡΕΙΑ!$A$2:$A$14,ΠΕΡΙΦΕΡΕΙΑ!$B$2:$B$14)</f>
        <v>Μερική</v>
      </c>
      <c r="H73">
        <f t="shared" si="7"/>
        <v>72</v>
      </c>
      <c r="I73">
        <f t="shared" si="8"/>
        <v>72</v>
      </c>
      <c r="J73" t="str">
        <f t="shared" si="9"/>
        <v>ΑΤΤΙΚΗΣ</v>
      </c>
      <c r="K73" t="str">
        <f t="shared" si="10"/>
        <v>ΠΕΡΑΜΑΤΟΣ</v>
      </c>
      <c r="L73" s="170" t="s">
        <v>419</v>
      </c>
      <c r="M73" t="str">
        <f t="shared" si="6"/>
        <v xml:space="preserve">ΑΤΤΙΚΗΣ - ΠΕΡΑΜΑΤΟΣ, </v>
      </c>
      <c r="N73"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v>
      </c>
    </row>
    <row r="74" spans="1:14" x14ac:dyDescent="0.25">
      <c r="A74">
        <v>73</v>
      </c>
      <c r="B74" t="s">
        <v>40</v>
      </c>
      <c r="C74" t="s">
        <v>370</v>
      </c>
      <c r="D74" t="s">
        <v>97</v>
      </c>
      <c r="E74" s="204" t="s">
        <v>647</v>
      </c>
      <c r="F74" s="204">
        <v>14406</v>
      </c>
      <c r="G74" t="str">
        <f>LOOKUP(B74,ΠΕΡΙΦΕΡΕΙΑ!$A$2:$A$14,ΠΕΡΙΦΕΡΕΙΑ!$B$2:$B$14)</f>
        <v>Μερική</v>
      </c>
      <c r="H74">
        <f t="shared" si="7"/>
        <v>73</v>
      </c>
      <c r="I74">
        <f t="shared" si="8"/>
        <v>73</v>
      </c>
      <c r="J74" t="str">
        <f t="shared" si="9"/>
        <v>ΑΤΤΙΚΗΣ</v>
      </c>
      <c r="K74" t="str">
        <f t="shared" si="10"/>
        <v>ΠΕΡΙΣΤΕΡΙΟΥ</v>
      </c>
      <c r="L74" s="170" t="s">
        <v>419</v>
      </c>
      <c r="M74" t="str">
        <f t="shared" si="6"/>
        <v xml:space="preserve">ΑΤΤΙΚΗΣ - ΠΕΡΙΣΤΕΡΙΟΥ, </v>
      </c>
      <c r="N74"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v>
      </c>
    </row>
    <row r="75" spans="1:14" x14ac:dyDescent="0.25">
      <c r="A75">
        <v>74</v>
      </c>
      <c r="B75" t="s">
        <v>40</v>
      </c>
      <c r="C75" t="s">
        <v>370</v>
      </c>
      <c r="D75" t="s">
        <v>98</v>
      </c>
      <c r="E75" s="204" t="s">
        <v>648</v>
      </c>
      <c r="F75" s="204">
        <v>14408</v>
      </c>
      <c r="G75" t="str">
        <f>LOOKUP(B75,ΠΕΡΙΦΕΡΕΙΑ!$A$2:$A$14,ΠΕΡΙΦΕΡΕΙΑ!$B$2:$B$14)</f>
        <v>Μερική</v>
      </c>
      <c r="H75">
        <f t="shared" si="7"/>
        <v>74</v>
      </c>
      <c r="I75">
        <f t="shared" si="8"/>
        <v>74</v>
      </c>
      <c r="J75" t="str">
        <f t="shared" si="9"/>
        <v>ΑΤΤΙΚΗΣ</v>
      </c>
      <c r="K75" t="str">
        <f t="shared" si="10"/>
        <v>ΠΕΤΡΟΥΠΟΛΕΩΣ</v>
      </c>
      <c r="L75" s="170" t="s">
        <v>419</v>
      </c>
      <c r="M75" t="str">
        <f t="shared" si="6"/>
        <v xml:space="preserve">ΑΤΤΙΚΗΣ - ΠΕΤΡΟΥΠΟΛΕΩΣ, </v>
      </c>
      <c r="N75"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v>
      </c>
    </row>
    <row r="76" spans="1:14" x14ac:dyDescent="0.25">
      <c r="A76">
        <v>75</v>
      </c>
      <c r="B76" t="s">
        <v>40</v>
      </c>
      <c r="C76" t="s">
        <v>372</v>
      </c>
      <c r="D76" t="s">
        <v>111</v>
      </c>
      <c r="E76" s="204" t="s">
        <v>649</v>
      </c>
      <c r="F76" s="204">
        <v>14416</v>
      </c>
      <c r="G76" t="str">
        <f>LOOKUP(B76,ΠΕΡΙΦΕΡΕΙΑ!$A$2:$A$14,ΠΕΡΙΦΕΡΕΙΑ!$B$2:$B$14)</f>
        <v>Μερική</v>
      </c>
      <c r="H76">
        <f t="shared" si="7"/>
        <v>75</v>
      </c>
      <c r="I76">
        <f t="shared" si="8"/>
        <v>75</v>
      </c>
      <c r="J76" t="str">
        <f t="shared" si="9"/>
        <v>ΑΤΤΙΚΗΣ</v>
      </c>
      <c r="K76" t="str">
        <f t="shared" si="10"/>
        <v>ΠΟΡΟΥ</v>
      </c>
      <c r="L76" s="170" t="s">
        <v>420</v>
      </c>
      <c r="M76" t="str">
        <f t="shared" si="6"/>
        <v/>
      </c>
      <c r="N76"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v>
      </c>
    </row>
    <row r="77" spans="1:14" x14ac:dyDescent="0.25">
      <c r="A77">
        <v>76</v>
      </c>
      <c r="B77" t="s">
        <v>40</v>
      </c>
      <c r="C77" t="s">
        <v>367</v>
      </c>
      <c r="D77" t="s">
        <v>72</v>
      </c>
      <c r="E77" s="204" t="s">
        <v>650</v>
      </c>
      <c r="F77" s="204">
        <v>14380</v>
      </c>
      <c r="G77" t="str">
        <f>LOOKUP(B77,ΠΕΡΙΦΕΡΕΙΑ!$A$2:$A$14,ΠΕΡΙΦΕΡΕΙΑ!$B$2:$B$14)</f>
        <v>Μερική</v>
      </c>
      <c r="H77">
        <f t="shared" si="7"/>
        <v>76</v>
      </c>
      <c r="I77">
        <f t="shared" si="8"/>
        <v>76</v>
      </c>
      <c r="J77" t="str">
        <f t="shared" si="9"/>
        <v>ΑΤΤΙΚΗΣ</v>
      </c>
      <c r="K77" t="str">
        <f t="shared" si="10"/>
        <v>ΡΑΦΗΝΑΣ – ΠΙΚΕΡΜΙΟΥ</v>
      </c>
      <c r="L77" s="170" t="s">
        <v>419</v>
      </c>
      <c r="M77" t="str">
        <f t="shared" si="6"/>
        <v xml:space="preserve">ΑΤΤΙΚΗΣ - ΡΑΦΗΝΑΣ – ΠΙΚΕΡΜΙΟΥ, </v>
      </c>
      <c r="N77"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v>
      </c>
    </row>
    <row r="78" spans="1:14" x14ac:dyDescent="0.25">
      <c r="A78">
        <v>77</v>
      </c>
      <c r="B78" t="s">
        <v>40</v>
      </c>
      <c r="C78" t="s">
        <v>372</v>
      </c>
      <c r="D78" t="s">
        <v>112</v>
      </c>
      <c r="E78" s="204" t="s">
        <v>651</v>
      </c>
      <c r="F78" s="204">
        <v>14430</v>
      </c>
      <c r="G78" t="str">
        <f>LOOKUP(B78,ΠΕΡΙΦΕΡΕΙΑ!$A$2:$A$14,ΠΕΡΙΦΕΡΕΙΑ!$B$2:$B$14)</f>
        <v>Μερική</v>
      </c>
      <c r="H78">
        <f t="shared" si="7"/>
        <v>77</v>
      </c>
      <c r="I78">
        <f t="shared" si="8"/>
        <v>77</v>
      </c>
      <c r="J78" t="str">
        <f t="shared" si="9"/>
        <v>ΑΤΤΙΚΗΣ</v>
      </c>
      <c r="K78" t="str">
        <f t="shared" si="10"/>
        <v>ΣΑΛΑΜΙΝΟΣ</v>
      </c>
      <c r="L78" s="170" t="s">
        <v>419</v>
      </c>
      <c r="M78" t="str">
        <f t="shared" si="6"/>
        <v xml:space="preserve">ΑΤΤΙΚΗΣ - ΣΑΛΑΜΙΝΟΣ, </v>
      </c>
      <c r="N78"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v>
      </c>
    </row>
    <row r="79" spans="1:14" x14ac:dyDescent="0.25">
      <c r="A79">
        <v>78</v>
      </c>
      <c r="B79" t="s">
        <v>40</v>
      </c>
      <c r="C79" t="s">
        <v>367</v>
      </c>
      <c r="D79" t="s">
        <v>73</v>
      </c>
      <c r="E79" s="204" t="s">
        <v>652</v>
      </c>
      <c r="F79" s="204">
        <v>14448</v>
      </c>
      <c r="G79" t="str">
        <f>LOOKUP(B79,ΠΕΡΙΦΕΡΕΙΑ!$A$2:$A$14,ΠΕΡΙΦΕΡΕΙΑ!$B$2:$B$14)</f>
        <v>Μερική</v>
      </c>
      <c r="H79">
        <f t="shared" si="7"/>
        <v>78</v>
      </c>
      <c r="I79">
        <f t="shared" si="8"/>
        <v>78</v>
      </c>
      <c r="J79" t="str">
        <f t="shared" si="9"/>
        <v>ΑΤΤΙΚΗΣ</v>
      </c>
      <c r="K79" t="str">
        <f t="shared" si="10"/>
        <v>ΣΑΡΩΝΙΚΟΥ</v>
      </c>
      <c r="L79" s="170" t="s">
        <v>420</v>
      </c>
      <c r="M79" t="str">
        <f t="shared" si="6"/>
        <v/>
      </c>
      <c r="N79"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v>
      </c>
    </row>
    <row r="80" spans="1:14" x14ac:dyDescent="0.25">
      <c r="A80">
        <v>79</v>
      </c>
      <c r="B80" t="s">
        <v>40</v>
      </c>
      <c r="C80" t="s">
        <v>367</v>
      </c>
      <c r="D80" t="s">
        <v>74</v>
      </c>
      <c r="E80" s="204" t="s">
        <v>653</v>
      </c>
      <c r="F80" s="204">
        <v>14480</v>
      </c>
      <c r="G80" t="str">
        <f>LOOKUP(B80,ΠΕΡΙΦΕΡΕΙΑ!$A$2:$A$14,ΠΕΡΙΦΕΡΕΙΑ!$B$2:$B$14)</f>
        <v>Μερική</v>
      </c>
      <c r="H80">
        <f t="shared" si="7"/>
        <v>79</v>
      </c>
      <c r="I80">
        <f t="shared" si="8"/>
        <v>79</v>
      </c>
      <c r="J80" t="str">
        <f t="shared" si="9"/>
        <v>ΑΤΤΙΚΗΣ</v>
      </c>
      <c r="K80" t="str">
        <f t="shared" si="10"/>
        <v>ΣΠΑΤΩΝ – ΑΡΤΕΜΙΔΟΣ</v>
      </c>
      <c r="L80" s="170" t="s">
        <v>419</v>
      </c>
      <c r="M80" t="str">
        <f t="shared" si="6"/>
        <v xml:space="preserve">ΑΤΤΙΚΗΣ - ΣΠΑΤΩΝ – ΑΡΤΕΜΙΔΟΣ, </v>
      </c>
      <c r="N80"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v>
      </c>
    </row>
    <row r="81" spans="1:14" x14ac:dyDescent="0.25">
      <c r="A81">
        <v>80</v>
      </c>
      <c r="B81" t="s">
        <v>40</v>
      </c>
      <c r="C81" t="s">
        <v>372</v>
      </c>
      <c r="D81" t="s">
        <v>113</v>
      </c>
      <c r="E81" s="204" t="s">
        <v>654</v>
      </c>
      <c r="F81" s="204">
        <v>14482</v>
      </c>
      <c r="G81" t="str">
        <f>LOOKUP(B81,ΠΕΡΙΦΕΡΕΙΑ!$A$2:$A$14,ΠΕΡΙΦΕΡΕΙΑ!$B$2:$B$14)</f>
        <v>Μερική</v>
      </c>
      <c r="H81">
        <f t="shared" si="7"/>
        <v>80</v>
      </c>
      <c r="I81">
        <f t="shared" si="8"/>
        <v>80</v>
      </c>
      <c r="J81" t="str">
        <f t="shared" si="9"/>
        <v>ΑΤΤΙΚΗΣ</v>
      </c>
      <c r="K81" t="str">
        <f t="shared" si="10"/>
        <v>ΣΠΕΤΣΩΝ</v>
      </c>
      <c r="L81" s="170" t="s">
        <v>420</v>
      </c>
      <c r="M81" t="str">
        <f t="shared" si="6"/>
        <v/>
      </c>
      <c r="N81"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v>
      </c>
    </row>
    <row r="82" spans="1:14" x14ac:dyDescent="0.25">
      <c r="A82">
        <v>81</v>
      </c>
      <c r="B82" t="s">
        <v>40</v>
      </c>
      <c r="C82" t="s">
        <v>372</v>
      </c>
      <c r="D82" t="s">
        <v>114</v>
      </c>
      <c r="E82" s="204" t="s">
        <v>655</v>
      </c>
      <c r="F82" s="204">
        <v>14502</v>
      </c>
      <c r="G82" t="str">
        <f>LOOKUP(B82,ΠΕΡΙΦΕΡΕΙΑ!$A$2:$A$14,ΠΕΡΙΦΕΡΕΙΑ!$B$2:$B$14)</f>
        <v>Μερική</v>
      </c>
      <c r="H82">
        <f t="shared" si="7"/>
        <v>81</v>
      </c>
      <c r="I82">
        <f t="shared" si="8"/>
        <v>81</v>
      </c>
      <c r="J82" t="str">
        <f t="shared" si="9"/>
        <v>ΑΤΤΙΚΗΣ</v>
      </c>
      <c r="K82" t="str">
        <f t="shared" si="10"/>
        <v>ΤΡΟΙΖΗΝΙΑΣ</v>
      </c>
      <c r="L82" s="170" t="s">
        <v>420</v>
      </c>
      <c r="M82" t="str">
        <f t="shared" si="6"/>
        <v/>
      </c>
      <c r="N82"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v>
      </c>
    </row>
    <row r="83" spans="1:14" x14ac:dyDescent="0.25">
      <c r="A83">
        <v>82</v>
      </c>
      <c r="B83" t="s">
        <v>40</v>
      </c>
      <c r="C83" t="s">
        <v>372</v>
      </c>
      <c r="D83" t="s">
        <v>115</v>
      </c>
      <c r="E83" s="204" t="s">
        <v>656</v>
      </c>
      <c r="F83" s="204">
        <v>14508</v>
      </c>
      <c r="G83" t="str">
        <f>LOOKUP(B83,ΠΕΡΙΦΕΡΕΙΑ!$A$2:$A$14,ΠΕΡΙΦΕΡΕΙΑ!$B$2:$B$14)</f>
        <v>Μερική</v>
      </c>
      <c r="H83">
        <f t="shared" si="7"/>
        <v>82</v>
      </c>
      <c r="I83">
        <f t="shared" si="8"/>
        <v>82</v>
      </c>
      <c r="J83" t="str">
        <f t="shared" si="9"/>
        <v>ΑΤΤΙΚΗΣ</v>
      </c>
      <c r="K83" t="str">
        <f t="shared" si="10"/>
        <v>ΥΔΡΑΣ</v>
      </c>
      <c r="L83" s="170" t="s">
        <v>420</v>
      </c>
      <c r="M83" t="str">
        <f t="shared" si="6"/>
        <v/>
      </c>
      <c r="N83"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v>
      </c>
    </row>
    <row r="84" spans="1:14" x14ac:dyDescent="0.25">
      <c r="A84">
        <v>83</v>
      </c>
      <c r="B84" t="s">
        <v>40</v>
      </c>
      <c r="C84" t="s">
        <v>371</v>
      </c>
      <c r="D84" t="s">
        <v>107</v>
      </c>
      <c r="E84" s="204" t="s">
        <v>657</v>
      </c>
      <c r="F84" s="204">
        <v>14514</v>
      </c>
      <c r="G84" t="str">
        <f>LOOKUP(B84,ΠΕΡΙΦΕΡΕΙΑ!$A$2:$A$14,ΠΕΡΙΦΕΡΕΙΑ!$B$2:$B$14)</f>
        <v>Μερική</v>
      </c>
      <c r="H84">
        <f t="shared" si="7"/>
        <v>83</v>
      </c>
      <c r="I84">
        <f t="shared" si="8"/>
        <v>83</v>
      </c>
      <c r="J84" t="str">
        <f t="shared" si="9"/>
        <v>ΑΤΤΙΚΗΣ</v>
      </c>
      <c r="K84" t="str">
        <f t="shared" si="10"/>
        <v>ΦΙΛΑΔΕΛΦΕΙΑΣ – ΧΑΛΚΗΔΟΝΟΣ</v>
      </c>
      <c r="L84" s="170" t="s">
        <v>419</v>
      </c>
      <c r="M84" t="str">
        <f t="shared" si="6"/>
        <v xml:space="preserve">ΑΤΤΙΚΗΣ - ΦΙΛΑΔΕΛΦΕΙΑΣ – ΧΑΛΚΗΔΟΝΟΣ, </v>
      </c>
      <c r="N84"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v>
      </c>
    </row>
    <row r="85" spans="1:14" x14ac:dyDescent="0.25">
      <c r="A85">
        <v>84</v>
      </c>
      <c r="B85" t="s">
        <v>40</v>
      </c>
      <c r="C85" t="s">
        <v>368</v>
      </c>
      <c r="D85" t="s">
        <v>86</v>
      </c>
      <c r="E85" s="204" t="s">
        <v>658</v>
      </c>
      <c r="F85" s="204">
        <v>14518</v>
      </c>
      <c r="G85" t="str">
        <f>LOOKUP(B85,ΠΕΡΙΦΕΡΕΙΑ!$A$2:$A$14,ΠΕΡΙΦΕΡΕΙΑ!$B$2:$B$14)</f>
        <v>Μερική</v>
      </c>
      <c r="H85">
        <f t="shared" si="7"/>
        <v>84</v>
      </c>
      <c r="I85">
        <f t="shared" si="8"/>
        <v>84</v>
      </c>
      <c r="J85" t="str">
        <f t="shared" si="9"/>
        <v>ΑΤΤΙΚΗΣ</v>
      </c>
      <c r="K85" t="str">
        <f t="shared" si="10"/>
        <v>ΦΙΛΟΘΕΗΣ – ΨΥΧΙΚΟΥ</v>
      </c>
      <c r="L85" s="170" t="s">
        <v>419</v>
      </c>
      <c r="M85" t="str">
        <f t="shared" si="6"/>
        <v xml:space="preserve">ΑΤΤΙΚΗΣ - ΦΙΛΟΘΕΗΣ – ΨΥΧΙΚΟΥ, </v>
      </c>
      <c r="N85"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v>
      </c>
    </row>
    <row r="86" spans="1:14" x14ac:dyDescent="0.25">
      <c r="A86">
        <v>85</v>
      </c>
      <c r="B86" t="s">
        <v>40</v>
      </c>
      <c r="C86" t="s">
        <v>369</v>
      </c>
      <c r="D86" t="s">
        <v>92</v>
      </c>
      <c r="E86" s="204" t="s">
        <v>659</v>
      </c>
      <c r="F86" s="204">
        <v>14528</v>
      </c>
      <c r="G86" t="str">
        <f>LOOKUP(B86,ΠΕΡΙΦΕΡΕΙΑ!$A$2:$A$14,ΠΕΡΙΦΕΡΕΙΑ!$B$2:$B$14)</f>
        <v>Μερική</v>
      </c>
      <c r="H86">
        <f t="shared" si="7"/>
        <v>85</v>
      </c>
      <c r="I86">
        <f t="shared" si="8"/>
        <v>85</v>
      </c>
      <c r="J86" t="str">
        <f t="shared" si="9"/>
        <v>ΑΤΤΙΚΗΣ</v>
      </c>
      <c r="K86" t="str">
        <f t="shared" si="10"/>
        <v>ΦΥΛΗΣ</v>
      </c>
      <c r="L86" s="170" t="s">
        <v>420</v>
      </c>
      <c r="M86" t="str">
        <f t="shared" si="6"/>
        <v/>
      </c>
      <c r="N86"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v>
      </c>
    </row>
    <row r="87" spans="1:14" x14ac:dyDescent="0.25">
      <c r="A87">
        <v>86</v>
      </c>
      <c r="B87" t="s">
        <v>40</v>
      </c>
      <c r="C87" t="s">
        <v>370</v>
      </c>
      <c r="D87" t="s">
        <v>99</v>
      </c>
      <c r="E87" s="204" t="s">
        <v>660</v>
      </c>
      <c r="F87" s="204">
        <v>14526</v>
      </c>
      <c r="G87" t="str">
        <f>LOOKUP(B87,ΠΕΡΙΦΕΡΕΙΑ!$A$2:$A$14,ΠΕΡΙΦΕΡΕΙΑ!$B$2:$B$14)</f>
        <v>Μερική</v>
      </c>
      <c r="H87">
        <f t="shared" si="7"/>
        <v>86</v>
      </c>
      <c r="I87">
        <f t="shared" si="8"/>
        <v>86</v>
      </c>
      <c r="J87" t="str">
        <f t="shared" si="9"/>
        <v>ΑΤΤΙΚΗΣ</v>
      </c>
      <c r="K87" t="str">
        <f t="shared" si="10"/>
        <v>ΧΑΪΔΑΡΙΟΥ</v>
      </c>
      <c r="L87" s="170" t="s">
        <v>419</v>
      </c>
      <c r="M87" t="str">
        <f t="shared" si="6"/>
        <v xml:space="preserve">ΑΤΤΙΚΗΣ - ΧΑΪΔΑΡΙΟΥ, </v>
      </c>
      <c r="N87"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v>
      </c>
    </row>
    <row r="88" spans="1:14" x14ac:dyDescent="0.25">
      <c r="A88">
        <v>87</v>
      </c>
      <c r="B88" t="s">
        <v>40</v>
      </c>
      <c r="C88" t="s">
        <v>368</v>
      </c>
      <c r="D88" t="s">
        <v>87</v>
      </c>
      <c r="E88" s="204" t="s">
        <v>661</v>
      </c>
      <c r="F88" s="204">
        <v>14530</v>
      </c>
      <c r="G88" t="str">
        <f>LOOKUP(B88,ΠΕΡΙΦΕΡΕΙΑ!$A$2:$A$14,ΠΕΡΙΦΕΡΕΙΑ!$B$2:$B$14)</f>
        <v>Μερική</v>
      </c>
      <c r="H88">
        <f t="shared" si="7"/>
        <v>87</v>
      </c>
      <c r="I88">
        <f t="shared" si="8"/>
        <v>87</v>
      </c>
      <c r="J88" t="str">
        <f t="shared" si="9"/>
        <v>ΑΤΤΙΚΗΣ</v>
      </c>
      <c r="K88" t="str">
        <f t="shared" si="10"/>
        <v>ΧΑΛΑΝΔΡΙΟΥ</v>
      </c>
      <c r="L88" s="170" t="s">
        <v>419</v>
      </c>
      <c r="M88" t="str">
        <f t="shared" si="6"/>
        <v xml:space="preserve">ΑΤΤΙΚΗΣ - ΧΑΛΑΝΔΡΙΟΥ, </v>
      </c>
      <c r="N88"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v>
      </c>
    </row>
    <row r="89" spans="1:14" x14ac:dyDescent="0.25">
      <c r="A89">
        <v>88</v>
      </c>
      <c r="B89" t="s">
        <v>40</v>
      </c>
      <c r="C89" t="s">
        <v>367</v>
      </c>
      <c r="D89" t="s">
        <v>75</v>
      </c>
      <c r="E89" s="204" t="s">
        <v>662</v>
      </c>
      <c r="F89" s="204">
        <v>14548</v>
      </c>
      <c r="G89" t="str">
        <f>LOOKUP(B89,ΠΕΡΙΦΕΡΕΙΑ!$A$2:$A$14,ΠΕΡΙΦΕΡΕΙΑ!$B$2:$B$14)</f>
        <v>Μερική</v>
      </c>
      <c r="H89">
        <f t="shared" si="7"/>
        <v>88</v>
      </c>
      <c r="I89">
        <f t="shared" si="8"/>
        <v>88</v>
      </c>
      <c r="J89" t="str">
        <f t="shared" si="9"/>
        <v>ΑΤΤΙΚΗΣ</v>
      </c>
      <c r="K89" t="str">
        <f t="shared" si="10"/>
        <v>ΩΡΩΠΟΥ</v>
      </c>
      <c r="L89" s="170" t="s">
        <v>420</v>
      </c>
      <c r="M89" t="str">
        <f t="shared" si="6"/>
        <v/>
      </c>
      <c r="N89"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v>
      </c>
    </row>
    <row r="90" spans="1:14" x14ac:dyDescent="0.25">
      <c r="A90">
        <v>89</v>
      </c>
      <c r="B90" t="s">
        <v>404</v>
      </c>
      <c r="C90" t="s">
        <v>133</v>
      </c>
      <c r="D90" t="s">
        <v>132</v>
      </c>
      <c r="E90" s="204" t="s">
        <v>663</v>
      </c>
      <c r="F90" s="204">
        <v>13928</v>
      </c>
      <c r="G90" t="str">
        <f>LOOKUP(B90,ΠΕΡΙΦΕΡΕΙΑ!$A$2:$A$14,ΠΕΡΙΦΕΡΕΙΑ!$B$2:$B$14)</f>
        <v>Καθόλου</v>
      </c>
      <c r="H90" t="str">
        <f t="shared" si="7"/>
        <v/>
      </c>
      <c r="I90">
        <f t="shared" si="8"/>
        <v>98</v>
      </c>
      <c r="J90" t="str">
        <f t="shared" si="9"/>
        <v>ΔΥΤΙΚΗΣ ΕΛΛΑΔΑΣ</v>
      </c>
      <c r="K90" t="str">
        <f t="shared" si="10"/>
        <v>ΑΓΡΙΝΙΟΥ</v>
      </c>
      <c r="L90" s="170" t="s">
        <v>419</v>
      </c>
      <c r="M90" t="str">
        <f t="shared" si="6"/>
        <v xml:space="preserve">ΔΥΤΙΚΗΣ ΕΛΛΑΔΑΣ - ΑΓΡΙΝΙΟΥ, </v>
      </c>
      <c r="N90"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v>
      </c>
    </row>
    <row r="91" spans="1:14" x14ac:dyDescent="0.25">
      <c r="A91">
        <v>90</v>
      </c>
      <c r="B91" t="s">
        <v>404</v>
      </c>
      <c r="C91" t="s">
        <v>129</v>
      </c>
      <c r="D91" t="s">
        <v>129</v>
      </c>
      <c r="E91" s="204" t="s">
        <v>664</v>
      </c>
      <c r="F91" s="204">
        <v>14148</v>
      </c>
      <c r="G91" t="str">
        <f>LOOKUP(B91,ΠΕΡΙΦΕΡΕΙΑ!$A$2:$A$14,ΠΕΡΙΦΕΡΕΙΑ!$B$2:$B$14)</f>
        <v>Καθόλου</v>
      </c>
      <c r="H91" t="str">
        <f t="shared" si="7"/>
        <v/>
      </c>
      <c r="I91">
        <f t="shared" si="8"/>
        <v>99</v>
      </c>
      <c r="J91" t="str">
        <f t="shared" si="9"/>
        <v>ΔΥΤΙΚΗΣ ΕΛΛΑΔΑΣ</v>
      </c>
      <c r="K91" t="str">
        <f t="shared" si="10"/>
        <v>ΑΙΓΙΑΛΕΙΑΣ</v>
      </c>
      <c r="L91" s="170" t="s">
        <v>419</v>
      </c>
      <c r="M91" t="str">
        <f t="shared" si="6"/>
        <v xml:space="preserve">ΔΥΤΙΚΗΣ ΕΛΛΑΔΑΣ - ΑΙΓΙΑΛΕΙΑΣ, </v>
      </c>
      <c r="N91"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v>
      </c>
    </row>
    <row r="92" spans="1:14" x14ac:dyDescent="0.25">
      <c r="A92">
        <v>91</v>
      </c>
      <c r="B92" t="s">
        <v>404</v>
      </c>
      <c r="C92" t="s">
        <v>131</v>
      </c>
      <c r="D92" t="s">
        <v>131</v>
      </c>
      <c r="E92" s="204" t="s">
        <v>665</v>
      </c>
      <c r="F92" s="204">
        <v>14256</v>
      </c>
      <c r="G92" t="str">
        <f>LOOKUP(B92,ΠΕΡΙΦΕΡΕΙΑ!$A$2:$A$14,ΠΕΡΙΦΕΡΕΙΑ!$B$2:$B$14)</f>
        <v>Καθόλου</v>
      </c>
      <c r="H92" t="str">
        <f t="shared" si="7"/>
        <v/>
      </c>
      <c r="I92">
        <f t="shared" si="8"/>
        <v>100</v>
      </c>
      <c r="J92" t="str">
        <f t="shared" si="9"/>
        <v>ΔΥΤΙΚΗΣ ΕΛΛΑΔΑΣ</v>
      </c>
      <c r="K92" t="str">
        <f t="shared" si="10"/>
        <v>ΑΚΤΙΟΥ – ΒΟΝΙΤΣΑΣ</v>
      </c>
      <c r="L92" s="170" t="s">
        <v>420</v>
      </c>
      <c r="M92" t="str">
        <f t="shared" si="6"/>
        <v/>
      </c>
      <c r="N92"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v>
      </c>
    </row>
    <row r="93" spans="1:14" x14ac:dyDescent="0.25">
      <c r="A93">
        <v>92</v>
      </c>
      <c r="B93" t="s">
        <v>404</v>
      </c>
      <c r="C93" t="s">
        <v>133</v>
      </c>
      <c r="D93" t="s">
        <v>133</v>
      </c>
      <c r="E93" s="204" t="s">
        <v>666</v>
      </c>
      <c r="F93" s="204">
        <v>14240</v>
      </c>
      <c r="G93" t="str">
        <f>LOOKUP(B93,ΠΕΡΙΦΕΡΕΙΑ!$A$2:$A$14,ΠΕΡΙΦΕΡΕΙΑ!$B$2:$B$14)</f>
        <v>Καθόλου</v>
      </c>
      <c r="H93" t="str">
        <f t="shared" si="7"/>
        <v/>
      </c>
      <c r="I93">
        <f t="shared" si="8"/>
        <v>101</v>
      </c>
      <c r="J93" t="str">
        <f t="shared" si="9"/>
        <v>ΔΥΤΙΚΗΣ ΕΛΛΑΔΑΣ</v>
      </c>
      <c r="K93" t="str">
        <f t="shared" si="10"/>
        <v>ΑΜΦΙΛΟΧΙΑΣ</v>
      </c>
      <c r="L93" s="170" t="s">
        <v>420</v>
      </c>
      <c r="M93" t="str">
        <f t="shared" si="6"/>
        <v/>
      </c>
      <c r="N93"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v>
      </c>
    </row>
    <row r="94" spans="1:14" x14ac:dyDescent="0.25">
      <c r="A94">
        <v>93</v>
      </c>
      <c r="B94" t="s">
        <v>404</v>
      </c>
      <c r="C94" t="s">
        <v>136</v>
      </c>
      <c r="D94" t="s">
        <v>135</v>
      </c>
      <c r="E94" s="204" t="s">
        <v>667</v>
      </c>
      <c r="F94" s="204">
        <v>14348</v>
      </c>
      <c r="G94" t="str">
        <f>LOOKUP(B94,ΠΕΡΙΦΕΡΕΙΑ!$A$2:$A$14,ΠΕΡΙΦΕΡΕΙΑ!$B$2:$B$14)</f>
        <v>Καθόλου</v>
      </c>
      <c r="H94" t="str">
        <f t="shared" si="7"/>
        <v/>
      </c>
      <c r="I94">
        <f t="shared" si="8"/>
        <v>102</v>
      </c>
      <c r="J94" t="str">
        <f t="shared" si="9"/>
        <v>ΔΥΤΙΚΗΣ ΕΛΛΑΔΑΣ</v>
      </c>
      <c r="K94" t="str">
        <f t="shared" si="10"/>
        <v>ΑΝΔΡΑΒΙΔΑΣ – ΚΥΛΛΗΝΗΣ</v>
      </c>
      <c r="L94" s="170" t="s">
        <v>420</v>
      </c>
      <c r="M94" t="str">
        <f t="shared" si="6"/>
        <v/>
      </c>
      <c r="N94"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v>
      </c>
    </row>
    <row r="95" spans="1:14" x14ac:dyDescent="0.25">
      <c r="A95">
        <v>94</v>
      </c>
      <c r="B95" t="s">
        <v>404</v>
      </c>
      <c r="C95" t="s">
        <v>134</v>
      </c>
      <c r="D95" t="s">
        <v>134</v>
      </c>
      <c r="E95" s="204" t="s">
        <v>668</v>
      </c>
      <c r="F95" s="204">
        <v>14446</v>
      </c>
      <c r="G95" t="str">
        <f>LOOKUP(B95,ΠΕΡΙΦΕΡΕΙΑ!$A$2:$A$14,ΠΕΡΙΦΕΡΕΙΑ!$B$2:$B$14)</f>
        <v>Καθόλου</v>
      </c>
      <c r="H95" t="str">
        <f t="shared" si="7"/>
        <v/>
      </c>
      <c r="I95">
        <f t="shared" si="8"/>
        <v>103</v>
      </c>
      <c r="J95" t="str">
        <f t="shared" si="9"/>
        <v>ΔΥΤΙΚΗΣ ΕΛΛΑΔΑΣ</v>
      </c>
      <c r="K95" t="str">
        <f t="shared" si="10"/>
        <v>ΑΝΔΡΙΤΣΑΙΝΑΣ – ΚΡΕΣΤΕΝΩΝ</v>
      </c>
      <c r="L95" s="170" t="s">
        <v>420</v>
      </c>
      <c r="M95" t="str">
        <f t="shared" si="6"/>
        <v/>
      </c>
      <c r="N95"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v>
      </c>
    </row>
    <row r="96" spans="1:14" x14ac:dyDescent="0.25">
      <c r="A96">
        <v>95</v>
      </c>
      <c r="B96" t="s">
        <v>404</v>
      </c>
      <c r="C96" t="s">
        <v>129</v>
      </c>
      <c r="D96" t="s">
        <v>130</v>
      </c>
      <c r="E96" s="204" t="s">
        <v>669</v>
      </c>
      <c r="F96" s="204">
        <v>14524</v>
      </c>
      <c r="G96" t="str">
        <f>LOOKUP(B96,ΠΕΡΙΦΕΡΕΙΑ!$A$2:$A$14,ΠΕΡΙΦΕΡΕΙΑ!$B$2:$B$14)</f>
        <v>Καθόλου</v>
      </c>
      <c r="H96" t="str">
        <f t="shared" si="7"/>
        <v/>
      </c>
      <c r="I96">
        <f t="shared" si="8"/>
        <v>104</v>
      </c>
      <c r="J96" t="str">
        <f t="shared" si="9"/>
        <v>ΔΥΤΙΚΗΣ ΕΛΛΑΔΑΣ</v>
      </c>
      <c r="K96" t="str">
        <f t="shared" si="10"/>
        <v>ΑΡΧΑΙΑΣ ΟΛΥΜΠΙΑΣ</v>
      </c>
      <c r="L96" s="170" t="s">
        <v>420</v>
      </c>
      <c r="M96" t="str">
        <f t="shared" si="6"/>
        <v/>
      </c>
      <c r="N96"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v>
      </c>
    </row>
    <row r="97" spans="1:14" x14ac:dyDescent="0.25">
      <c r="A97">
        <v>96</v>
      </c>
      <c r="B97" t="s">
        <v>404</v>
      </c>
      <c r="C97" t="s">
        <v>136</v>
      </c>
      <c r="D97" t="s">
        <v>136</v>
      </c>
      <c r="E97" s="204" t="s">
        <v>670</v>
      </c>
      <c r="F97" s="204">
        <v>14542</v>
      </c>
      <c r="G97" t="str">
        <f>LOOKUP(B97,ΠΕΡΙΦΕΡΕΙΑ!$A$2:$A$14,ΠΕΡΙΦΕΡΕΙΑ!$B$2:$B$14)</f>
        <v>Καθόλου</v>
      </c>
      <c r="H97" t="str">
        <f t="shared" si="7"/>
        <v/>
      </c>
      <c r="I97">
        <f t="shared" si="8"/>
        <v>105</v>
      </c>
      <c r="J97" t="str">
        <f t="shared" si="9"/>
        <v>ΔΥΤΙΚΗΣ ΕΛΛΑΔΑΣ</v>
      </c>
      <c r="K97" t="str">
        <f t="shared" si="10"/>
        <v>ΔΥΤΙΚΗΣ ΑΧΑΪΑΣ</v>
      </c>
      <c r="L97" s="170" t="s">
        <v>420</v>
      </c>
      <c r="M97" t="str">
        <f t="shared" si="6"/>
        <v/>
      </c>
      <c r="N97"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v>
      </c>
    </row>
    <row r="98" spans="1:14" x14ac:dyDescent="0.25">
      <c r="A98">
        <v>97</v>
      </c>
      <c r="B98" t="s">
        <v>404</v>
      </c>
      <c r="C98" t="s">
        <v>136</v>
      </c>
      <c r="D98" t="s">
        <v>137</v>
      </c>
      <c r="E98" s="204" t="s">
        <v>671</v>
      </c>
      <c r="F98" s="204">
        <v>14546</v>
      </c>
      <c r="G98" t="str">
        <f>LOOKUP(B98,ΠΕΡΙΦΕΡΕΙΑ!$A$2:$A$14,ΠΕΡΙΦΕΡΕΙΑ!$B$2:$B$14)</f>
        <v>Καθόλου</v>
      </c>
      <c r="H98" t="str">
        <f t="shared" si="7"/>
        <v/>
      </c>
      <c r="I98">
        <f t="shared" si="8"/>
        <v>106</v>
      </c>
      <c r="J98" t="str">
        <f t="shared" si="9"/>
        <v>ΔΥΤΙΚΗΣ ΕΛΛΑΔΑΣ</v>
      </c>
      <c r="K98" t="str">
        <f t="shared" si="10"/>
        <v>ΕΡΥΜΑΝΘΟΥ</v>
      </c>
      <c r="L98" s="170" t="s">
        <v>420</v>
      </c>
      <c r="M98" t="str">
        <f t="shared" si="6"/>
        <v/>
      </c>
      <c r="N98"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v>
      </c>
    </row>
    <row r="99" spans="1:14" x14ac:dyDescent="0.25">
      <c r="A99">
        <v>98</v>
      </c>
      <c r="B99" t="s">
        <v>405</v>
      </c>
      <c r="C99" t="s">
        <v>374</v>
      </c>
      <c r="D99" t="s">
        <v>138</v>
      </c>
      <c r="E99" s="204" t="s">
        <v>672</v>
      </c>
      <c r="F99" s="204">
        <v>13942</v>
      </c>
      <c r="G99" t="str">
        <f>LOOKUP(B99,ΠΕΡΙΦΕΡΕΙΑ!$A$2:$A$14,ΠΕΡΙΦΕΡΕΙΑ!$B$2:$B$14)</f>
        <v>Μερική</v>
      </c>
      <c r="H99">
        <f t="shared" si="7"/>
        <v>98</v>
      </c>
      <c r="I99">
        <f t="shared" si="8"/>
        <v>107</v>
      </c>
      <c r="J99" t="str">
        <f t="shared" si="9"/>
        <v>ΔΥΤΙΚΗΣ ΕΛΛΑΔΑΣ</v>
      </c>
      <c r="K99" t="str">
        <f t="shared" si="10"/>
        <v>ΖΑΧΑΡΩΣ</v>
      </c>
      <c r="L99" s="170" t="s">
        <v>420</v>
      </c>
      <c r="M99" t="str">
        <f t="shared" si="6"/>
        <v/>
      </c>
      <c r="N99"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v>
      </c>
    </row>
    <row r="100" spans="1:14" x14ac:dyDescent="0.25">
      <c r="A100">
        <v>99</v>
      </c>
      <c r="B100" t="s">
        <v>405</v>
      </c>
      <c r="C100" t="s">
        <v>375</v>
      </c>
      <c r="D100" t="s">
        <v>145</v>
      </c>
      <c r="E100" s="204" t="s">
        <v>673</v>
      </c>
      <c r="F100" s="204">
        <v>13904</v>
      </c>
      <c r="G100" t="str">
        <f>LOOKUP(B100,ΠΕΡΙΦΕΡΕΙΑ!$A$2:$A$14,ΠΕΡΙΦΕΡΕΙΑ!$B$2:$B$14)</f>
        <v>Μερική</v>
      </c>
      <c r="H100">
        <f t="shared" si="7"/>
        <v>99</v>
      </c>
      <c r="I100">
        <f t="shared" si="8"/>
        <v>108</v>
      </c>
      <c r="J100" t="str">
        <f t="shared" si="9"/>
        <v>ΔΥΤΙΚΗΣ ΕΛΛΑΔΑΣ</v>
      </c>
      <c r="K100" t="str">
        <f t="shared" si="10"/>
        <v>ΗΛΙΔΑΣ</v>
      </c>
      <c r="L100" s="170" t="s">
        <v>420</v>
      </c>
      <c r="M100" t="str">
        <f t="shared" si="6"/>
        <v/>
      </c>
      <c r="N100"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v>
      </c>
    </row>
    <row r="101" spans="1:14" x14ac:dyDescent="0.25">
      <c r="A101">
        <v>100</v>
      </c>
      <c r="B101" t="s">
        <v>405</v>
      </c>
      <c r="C101" t="s">
        <v>374</v>
      </c>
      <c r="D101" t="s">
        <v>139</v>
      </c>
      <c r="E101" s="204" t="s">
        <v>674</v>
      </c>
      <c r="F101" s="204">
        <v>13950</v>
      </c>
      <c r="G101" t="str">
        <f>LOOKUP(B101,ΠΕΡΙΦΕΡΕΙΑ!$A$2:$A$14,ΠΕΡΙΦΕΡΕΙΑ!$B$2:$B$14)</f>
        <v>Μερική</v>
      </c>
      <c r="H101">
        <f t="shared" si="7"/>
        <v>100</v>
      </c>
      <c r="I101">
        <f t="shared" si="8"/>
        <v>109</v>
      </c>
      <c r="J101" t="str">
        <f t="shared" si="9"/>
        <v>ΔΥΤΙΚΗΣ ΕΛΛΑΔΑΣ</v>
      </c>
      <c r="K101" t="str">
        <f t="shared" si="10"/>
        <v>ΘΕΡΜΟΥ</v>
      </c>
      <c r="L101" s="170" t="s">
        <v>420</v>
      </c>
      <c r="M101" t="str">
        <f t="shared" si="6"/>
        <v/>
      </c>
      <c r="N101"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v>
      </c>
    </row>
    <row r="102" spans="1:14" x14ac:dyDescent="0.25">
      <c r="A102">
        <v>101</v>
      </c>
      <c r="B102" t="s">
        <v>405</v>
      </c>
      <c r="C102" t="s">
        <v>374</v>
      </c>
      <c r="D102" t="s">
        <v>140</v>
      </c>
      <c r="E102" s="204" t="s">
        <v>675</v>
      </c>
      <c r="F102" s="204">
        <v>13974</v>
      </c>
      <c r="G102" t="str">
        <f>LOOKUP(B102,ΠΕΡΙΦΕΡΕΙΑ!$A$2:$A$14,ΠΕΡΙΦΕΡΕΙΑ!$B$2:$B$14)</f>
        <v>Μερική</v>
      </c>
      <c r="H102">
        <f t="shared" si="7"/>
        <v>101</v>
      </c>
      <c r="I102">
        <f t="shared" si="8"/>
        <v>110</v>
      </c>
      <c r="J102" t="str">
        <f t="shared" si="9"/>
        <v>ΔΥΤΙΚΗΣ ΕΛΛΑΔΑΣ</v>
      </c>
      <c r="K102" t="str">
        <f t="shared" si="10"/>
        <v>ΙΕΡΑΣ ΠΟΛΗΣ ΜΕΣΟΛΟΓΓΙΟΥ</v>
      </c>
      <c r="L102" s="170" t="s">
        <v>419</v>
      </c>
      <c r="M102" t="str">
        <f t="shared" si="6"/>
        <v xml:space="preserve">ΔΥΤΙΚΗΣ ΕΛΛΑΔΑΣ - ΙΕΡΑΣ ΠΟΛΗΣ ΜΕΣΟΛΟΓΓΙΟΥ, </v>
      </c>
      <c r="N102"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v>
      </c>
    </row>
    <row r="103" spans="1:14" x14ac:dyDescent="0.25">
      <c r="A103">
        <v>102</v>
      </c>
      <c r="B103" t="s">
        <v>405</v>
      </c>
      <c r="C103" t="s">
        <v>376</v>
      </c>
      <c r="D103" t="s">
        <v>150</v>
      </c>
      <c r="E103" s="204" t="s">
        <v>676</v>
      </c>
      <c r="F103" s="204">
        <v>13984</v>
      </c>
      <c r="G103" t="str">
        <f>LOOKUP(B103,ΠΕΡΙΦΕΡΕΙΑ!$A$2:$A$14,ΠΕΡΙΦΕΡΕΙΑ!$B$2:$B$14)</f>
        <v>Μερική</v>
      </c>
      <c r="H103">
        <f t="shared" si="7"/>
        <v>102</v>
      </c>
      <c r="I103">
        <f t="shared" si="8"/>
        <v>111</v>
      </c>
      <c r="J103" t="str">
        <f t="shared" si="9"/>
        <v>ΔΥΤΙΚΗΣ ΕΛΛΑΔΑΣ</v>
      </c>
      <c r="K103" t="str">
        <f t="shared" si="10"/>
        <v>ΚΑΛΑΒΡΥΤΩΝ</v>
      </c>
      <c r="L103" s="170" t="s">
        <v>420</v>
      </c>
      <c r="M103" t="str">
        <f t="shared" si="6"/>
        <v/>
      </c>
      <c r="N103"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v>
      </c>
    </row>
    <row r="104" spans="1:14" x14ac:dyDescent="0.25">
      <c r="A104">
        <v>103</v>
      </c>
      <c r="B104" t="s">
        <v>405</v>
      </c>
      <c r="C104" t="s">
        <v>376</v>
      </c>
      <c r="D104" t="s">
        <v>151</v>
      </c>
      <c r="E104" s="204" t="s">
        <v>677</v>
      </c>
      <c r="F104" s="204">
        <v>13982</v>
      </c>
      <c r="G104" t="str">
        <f>LOOKUP(B104,ΠΕΡΙΦΕΡΕΙΑ!$A$2:$A$14,ΠΕΡΙΦΕΡΕΙΑ!$B$2:$B$14)</f>
        <v>Μερική</v>
      </c>
      <c r="H104">
        <f t="shared" si="7"/>
        <v>103</v>
      </c>
      <c r="I104">
        <f t="shared" si="8"/>
        <v>112</v>
      </c>
      <c r="J104" t="str">
        <f t="shared" si="9"/>
        <v>ΔΥΤΙΚΗΣ ΕΛΛΑΔΑΣ</v>
      </c>
      <c r="K104" t="str">
        <f t="shared" si="10"/>
        <v>ΝΑΥΠΑΚΤΙΑΣ</v>
      </c>
      <c r="L104" s="170" t="s">
        <v>419</v>
      </c>
      <c r="M104" t="str">
        <f t="shared" si="6"/>
        <v xml:space="preserve">ΔΥΤΙΚΗΣ ΕΛΛΑΔΑΣ - ΝΑΥΠΑΚΤΙΑΣ, </v>
      </c>
      <c r="N104"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v>
      </c>
    </row>
    <row r="105" spans="1:14" x14ac:dyDescent="0.25">
      <c r="A105">
        <v>104</v>
      </c>
      <c r="B105" t="s">
        <v>405</v>
      </c>
      <c r="C105" t="s">
        <v>376</v>
      </c>
      <c r="D105" t="s">
        <v>152</v>
      </c>
      <c r="E105" s="204" t="s">
        <v>678</v>
      </c>
      <c r="F105" s="204">
        <v>14000</v>
      </c>
      <c r="G105" t="str">
        <f>LOOKUP(B105,ΠΕΡΙΦΕΡΕΙΑ!$A$2:$A$14,ΠΕΡΙΦΕΡΕΙΑ!$B$2:$B$14)</f>
        <v>Μερική</v>
      </c>
      <c r="H105">
        <f t="shared" si="7"/>
        <v>104</v>
      </c>
      <c r="I105">
        <f t="shared" si="8"/>
        <v>113</v>
      </c>
      <c r="J105" t="str">
        <f t="shared" si="9"/>
        <v>ΔΥΤΙΚΗΣ ΕΛΛΑΔΑΣ</v>
      </c>
      <c r="K105" t="str">
        <f t="shared" si="10"/>
        <v>ΞΗΡΟΜΕΡΟΥ</v>
      </c>
      <c r="L105" s="170" t="s">
        <v>420</v>
      </c>
      <c r="M105" t="str">
        <f t="shared" si="6"/>
        <v/>
      </c>
      <c r="N105"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v>
      </c>
    </row>
    <row r="106" spans="1:14" x14ac:dyDescent="0.25">
      <c r="A106">
        <v>105</v>
      </c>
      <c r="B106" t="s">
        <v>405</v>
      </c>
      <c r="C106" t="s">
        <v>375</v>
      </c>
      <c r="D106" t="s">
        <v>146</v>
      </c>
      <c r="E106" s="204" t="s">
        <v>679</v>
      </c>
      <c r="F106" s="204">
        <v>14072</v>
      </c>
      <c r="G106" t="str">
        <f>LOOKUP(B106,ΠΕΡΙΦΕΡΕΙΑ!$A$2:$A$14,ΠΕΡΙΦΕΡΕΙΑ!$B$2:$B$14)</f>
        <v>Μερική</v>
      </c>
      <c r="H106">
        <f t="shared" si="7"/>
        <v>105</v>
      </c>
      <c r="I106">
        <f t="shared" si="8"/>
        <v>114</v>
      </c>
      <c r="J106" t="str">
        <f t="shared" si="9"/>
        <v>ΔΥΤΙΚΗΣ ΕΛΛΑΔΑΣ</v>
      </c>
      <c r="K106" t="str">
        <f t="shared" si="10"/>
        <v>ΠΑΤΡΕΩΝ</v>
      </c>
      <c r="L106" s="170" t="s">
        <v>419</v>
      </c>
      <c r="M106" t="str">
        <f t="shared" si="6"/>
        <v xml:space="preserve">ΔΥΤΙΚΗΣ ΕΛΛΑΔΑΣ - ΠΑΤΡΕΩΝ, </v>
      </c>
      <c r="N106"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v>
      </c>
    </row>
    <row r="107" spans="1:14" x14ac:dyDescent="0.25">
      <c r="A107">
        <v>106</v>
      </c>
      <c r="B107" t="s">
        <v>405</v>
      </c>
      <c r="C107" t="s">
        <v>375</v>
      </c>
      <c r="D107" t="s">
        <v>147</v>
      </c>
      <c r="E107" s="204" t="s">
        <v>680</v>
      </c>
      <c r="F107" s="204">
        <v>14098</v>
      </c>
      <c r="G107" t="str">
        <f>LOOKUP(B107,ΠΕΡΙΦΕΡΕΙΑ!$A$2:$A$14,ΠΕΡΙΦΕΡΕΙΑ!$B$2:$B$14)</f>
        <v>Μερική</v>
      </c>
      <c r="H107">
        <f t="shared" si="7"/>
        <v>106</v>
      </c>
      <c r="I107">
        <f t="shared" si="8"/>
        <v>115</v>
      </c>
      <c r="J107" t="str">
        <f t="shared" si="9"/>
        <v>ΔΥΤΙΚΗΣ ΕΛΛΑΔΑΣ</v>
      </c>
      <c r="K107" t="str">
        <f t="shared" si="10"/>
        <v>ΠΗΝΕΙΟΥ</v>
      </c>
      <c r="L107" s="170" t="s">
        <v>420</v>
      </c>
      <c r="M107" t="str">
        <f t="shared" si="6"/>
        <v/>
      </c>
      <c r="N107"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v>
      </c>
    </row>
    <row r="108" spans="1:14" x14ac:dyDescent="0.25">
      <c r="A108">
        <v>107</v>
      </c>
      <c r="B108" t="s">
        <v>405</v>
      </c>
      <c r="C108" t="s">
        <v>376</v>
      </c>
      <c r="D108" t="s">
        <v>153</v>
      </c>
      <c r="E108" s="204" t="s">
        <v>681</v>
      </c>
      <c r="F108" s="204">
        <v>14110</v>
      </c>
      <c r="G108" t="str">
        <f>LOOKUP(B108,ΠΕΡΙΦΕΡΕΙΑ!$A$2:$A$14,ΠΕΡΙΦΕΡΕΙΑ!$B$2:$B$14)</f>
        <v>Μερική</v>
      </c>
      <c r="H108">
        <f t="shared" si="7"/>
        <v>107</v>
      </c>
      <c r="I108">
        <f t="shared" si="8"/>
        <v>116</v>
      </c>
      <c r="J108" t="str">
        <f t="shared" si="9"/>
        <v>ΔΥΤΙΚΗΣ ΕΛΛΑΔΑΣ</v>
      </c>
      <c r="K108" t="str">
        <f t="shared" si="10"/>
        <v>ΠΥΡΓΟΥ</v>
      </c>
      <c r="L108" s="170" t="s">
        <v>419</v>
      </c>
      <c r="M108" t="str">
        <f t="shared" si="6"/>
        <v xml:space="preserve">ΔΥΤΙΚΗΣ ΕΛΛΑΔΑΣ - ΠΥΡΓΟΥ, </v>
      </c>
      <c r="N108"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v>
      </c>
    </row>
    <row r="109" spans="1:14" x14ac:dyDescent="0.25">
      <c r="A109">
        <v>108</v>
      </c>
      <c r="B109" t="s">
        <v>405</v>
      </c>
      <c r="C109" t="s">
        <v>376</v>
      </c>
      <c r="D109" t="s">
        <v>154</v>
      </c>
      <c r="E109" s="204" t="s">
        <v>682</v>
      </c>
      <c r="F109" s="204">
        <v>14118</v>
      </c>
      <c r="G109" t="str">
        <f>LOOKUP(B109,ΠΕΡΙΦΕΡΕΙΑ!$A$2:$A$14,ΠΕΡΙΦΕΡΕΙΑ!$B$2:$B$14)</f>
        <v>Μερική</v>
      </c>
      <c r="H109">
        <f t="shared" si="7"/>
        <v>108</v>
      </c>
      <c r="I109">
        <f t="shared" si="8"/>
        <v>117</v>
      </c>
      <c r="J109" t="str">
        <f t="shared" si="9"/>
        <v>ΔΥΤΙΚΗΣ ΜΑΚΕΔΟΝΙΑΣ</v>
      </c>
      <c r="K109" t="str">
        <f t="shared" si="10"/>
        <v>ΑΜΥΝΤΑΙΟΥ</v>
      </c>
      <c r="L109" s="170" t="s">
        <v>419</v>
      </c>
      <c r="M109" t="str">
        <f t="shared" si="6"/>
        <v xml:space="preserve">ΔΥΤΙΚΗΣ ΜΑΚΕΔΟΝΙΑΣ - ΑΜΥΝΤΑΙΟΥ, </v>
      </c>
      <c r="N109"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v>
      </c>
    </row>
    <row r="110" spans="1:14" x14ac:dyDescent="0.25">
      <c r="A110">
        <v>109</v>
      </c>
      <c r="B110" t="s">
        <v>405</v>
      </c>
      <c r="C110" t="s">
        <v>374</v>
      </c>
      <c r="D110" t="s">
        <v>141</v>
      </c>
      <c r="E110" s="204" t="s">
        <v>683</v>
      </c>
      <c r="F110" s="204">
        <v>14136</v>
      </c>
      <c r="G110" t="str">
        <f>LOOKUP(B110,ΠΕΡΙΦΕΡΕΙΑ!$A$2:$A$14,ΠΕΡΙΦΕΡΕΙΑ!$B$2:$B$14)</f>
        <v>Μερική</v>
      </c>
      <c r="H110">
        <f t="shared" si="7"/>
        <v>109</v>
      </c>
      <c r="I110">
        <f t="shared" si="8"/>
        <v>118</v>
      </c>
      <c r="J110" t="str">
        <f t="shared" si="9"/>
        <v>ΔΥΤΙΚΗΣ ΜΑΚΕΔΟΝΙΑΣ</v>
      </c>
      <c r="K110" t="str">
        <f t="shared" si="10"/>
        <v>ΒΟΪΟΥ</v>
      </c>
      <c r="L110" s="170" t="s">
        <v>419</v>
      </c>
      <c r="M110" t="str">
        <f t="shared" si="6"/>
        <v xml:space="preserve">ΔΥΤΙΚΗΣ ΜΑΚΕΔΟΝΙΑΣ - ΒΟΪΟΥ, </v>
      </c>
      <c r="N110"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v>
      </c>
    </row>
    <row r="111" spans="1:14" x14ac:dyDescent="0.25">
      <c r="A111">
        <v>110</v>
      </c>
      <c r="B111" t="s">
        <v>405</v>
      </c>
      <c r="C111" t="s">
        <v>374</v>
      </c>
      <c r="D111" t="s">
        <v>142</v>
      </c>
      <c r="E111" s="204" t="s">
        <v>684</v>
      </c>
      <c r="F111" s="204">
        <v>14142</v>
      </c>
      <c r="G111" t="str">
        <f>LOOKUP(B111,ΠΕΡΙΦΕΡΕΙΑ!$A$2:$A$14,ΠΕΡΙΦΕΡΕΙΑ!$B$2:$B$14)</f>
        <v>Μερική</v>
      </c>
      <c r="H111">
        <f t="shared" si="7"/>
        <v>110</v>
      </c>
      <c r="I111">
        <f t="shared" si="8"/>
        <v>119</v>
      </c>
      <c r="J111" t="str">
        <f t="shared" si="9"/>
        <v>ΔΥΤΙΚΗΣ ΜΑΚΕΔΟΝΙΑΣ</v>
      </c>
      <c r="K111" t="str">
        <f t="shared" si="10"/>
        <v>ΓΡΕΒΕΝΩΝ</v>
      </c>
      <c r="L111" s="170" t="s">
        <v>419</v>
      </c>
      <c r="M111" t="str">
        <f t="shared" si="6"/>
        <v xml:space="preserve">ΔΥΤΙΚΗΣ ΜΑΚΕΔΟΝΙΑΣ - ΓΡΕΒΕΝΩΝ, </v>
      </c>
      <c r="N111"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v>
      </c>
    </row>
    <row r="112" spans="1:14" x14ac:dyDescent="0.25">
      <c r="A112">
        <v>111</v>
      </c>
      <c r="B112" t="s">
        <v>405</v>
      </c>
      <c r="C112" t="s">
        <v>375</v>
      </c>
      <c r="D112" t="s">
        <v>148</v>
      </c>
      <c r="E112" s="204" t="s">
        <v>685</v>
      </c>
      <c r="F112" s="204">
        <v>14174</v>
      </c>
      <c r="G112" t="str">
        <f>LOOKUP(B112,ΠΕΡΙΦΕΡΕΙΑ!$A$2:$A$14,ΠΕΡΙΦΕΡΕΙΑ!$B$2:$B$14)</f>
        <v>Μερική</v>
      </c>
      <c r="H112">
        <f t="shared" si="7"/>
        <v>111</v>
      </c>
      <c r="I112">
        <f t="shared" si="8"/>
        <v>120</v>
      </c>
      <c r="J112" t="str">
        <f t="shared" si="9"/>
        <v>ΔΥΤΙΚΗΣ ΜΑΚΕΔΟΝΙΑΣ</v>
      </c>
      <c r="K112" t="str">
        <f t="shared" si="10"/>
        <v>ΔΕΣΚΑΤΗΣ</v>
      </c>
      <c r="L112" s="170" t="s">
        <v>419</v>
      </c>
      <c r="M112" t="str">
        <f t="shared" si="6"/>
        <v xml:space="preserve">ΔΥΤΙΚΗΣ ΜΑΚΕΔΟΝΙΑΣ - ΔΕΣΚΑΤΗΣ, </v>
      </c>
      <c r="N112"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v>
      </c>
    </row>
    <row r="113" spans="1:14" x14ac:dyDescent="0.25">
      <c r="A113">
        <v>112</v>
      </c>
      <c r="B113" t="s">
        <v>405</v>
      </c>
      <c r="C113" t="s">
        <v>374</v>
      </c>
      <c r="D113" t="s">
        <v>143</v>
      </c>
      <c r="E113" s="204" t="s">
        <v>686</v>
      </c>
      <c r="F113" s="204">
        <v>14312</v>
      </c>
      <c r="G113" t="str">
        <f>LOOKUP(B113,ΠΕΡΙΦΕΡΕΙΑ!$A$2:$A$14,ΠΕΡΙΦΕΡΕΙΑ!$B$2:$B$14)</f>
        <v>Μερική</v>
      </c>
      <c r="H113">
        <f t="shared" si="7"/>
        <v>112</v>
      </c>
      <c r="I113">
        <f t="shared" si="8"/>
        <v>121</v>
      </c>
      <c r="J113" t="str">
        <f t="shared" si="9"/>
        <v>ΔΥΤΙΚΗΣ ΜΑΚΕΔΟΝΙΑΣ</v>
      </c>
      <c r="K113" t="str">
        <f t="shared" si="10"/>
        <v>ΕΟΡΔΑΙΑΣ</v>
      </c>
      <c r="L113" s="170" t="s">
        <v>419</v>
      </c>
      <c r="M113" t="str">
        <f t="shared" si="6"/>
        <v xml:space="preserve">ΔΥΤΙΚΗΣ ΜΑΚΕΔΟΝΙΑΣ - ΕΟΡΔΑΙΑΣ, </v>
      </c>
      <c r="N113"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v>
      </c>
    </row>
    <row r="114" spans="1:14" x14ac:dyDescent="0.25">
      <c r="A114">
        <v>113</v>
      </c>
      <c r="B114" t="s">
        <v>405</v>
      </c>
      <c r="C114" t="s">
        <v>374</v>
      </c>
      <c r="D114" t="s">
        <v>144</v>
      </c>
      <c r="E114" s="204" t="s">
        <v>687</v>
      </c>
      <c r="F114" s="204">
        <v>14344</v>
      </c>
      <c r="G114" t="str">
        <f>LOOKUP(B114,ΠΕΡΙΦΕΡΕΙΑ!$A$2:$A$14,ΠΕΡΙΦΕΡΕΙΑ!$B$2:$B$14)</f>
        <v>Μερική</v>
      </c>
      <c r="H114">
        <f t="shared" si="7"/>
        <v>113</v>
      </c>
      <c r="I114">
        <f t="shared" si="8"/>
        <v>122</v>
      </c>
      <c r="J114" t="str">
        <f t="shared" si="9"/>
        <v>ΔΥΤΙΚΗΣ ΜΑΚΕΔΟΝΙΑΣ</v>
      </c>
      <c r="K114" t="str">
        <f t="shared" si="10"/>
        <v>ΚΑΣΤΟΡΙΑΣ</v>
      </c>
      <c r="L114" s="170" t="s">
        <v>419</v>
      </c>
      <c r="M114" t="str">
        <f t="shared" si="6"/>
        <v xml:space="preserve">ΔΥΤΙΚΗΣ ΜΑΚΕΔΟΝΙΑΣ - ΚΑΣΤΟΡΙΑΣ, </v>
      </c>
      <c r="N114"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v>
      </c>
    </row>
    <row r="115" spans="1:14" x14ac:dyDescent="0.25">
      <c r="A115">
        <v>114</v>
      </c>
      <c r="B115" t="s">
        <v>405</v>
      </c>
      <c r="C115" t="s">
        <v>375</v>
      </c>
      <c r="D115" t="s">
        <v>149</v>
      </c>
      <c r="E115" s="204" t="s">
        <v>688</v>
      </c>
      <c r="F115" s="204">
        <v>14366</v>
      </c>
      <c r="G115" t="str">
        <f>LOOKUP(B115,ΠΕΡΙΦΕΡΕΙΑ!$A$2:$A$14,ΠΕΡΙΦΕΡΕΙΑ!$B$2:$B$14)</f>
        <v>Μερική</v>
      </c>
      <c r="H115">
        <f t="shared" si="7"/>
        <v>114</v>
      </c>
      <c r="I115">
        <f t="shared" si="8"/>
        <v>123</v>
      </c>
      <c r="J115" t="str">
        <f t="shared" si="9"/>
        <v>ΔΥΤΙΚΗΣ ΜΑΚΕΔΟΝΙΑΣ</v>
      </c>
      <c r="K115" t="str">
        <f t="shared" si="10"/>
        <v>ΚΟΖΑΝΗΣ</v>
      </c>
      <c r="L115" s="170" t="s">
        <v>419</v>
      </c>
      <c r="M115" t="str">
        <f t="shared" si="6"/>
        <v xml:space="preserve">ΔΥΤΙΚΗΣ ΜΑΚΕΔΟΝΙΑΣ - ΚΟΖΑΝΗΣ, </v>
      </c>
      <c r="N115"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v>
      </c>
    </row>
    <row r="116" spans="1:14" x14ac:dyDescent="0.25">
      <c r="A116">
        <v>115</v>
      </c>
      <c r="B116" t="s">
        <v>405</v>
      </c>
      <c r="C116" t="s">
        <v>376</v>
      </c>
      <c r="D116" t="s">
        <v>155</v>
      </c>
      <c r="E116" s="204" t="s">
        <v>689</v>
      </c>
      <c r="F116" s="204">
        <v>14410</v>
      </c>
      <c r="G116" t="str">
        <f>LOOKUP(B116,ΠΕΡΙΦΕΡΕΙΑ!$A$2:$A$14,ΠΕΡΙΦΕΡΕΙΑ!$B$2:$B$14)</f>
        <v>Μερική</v>
      </c>
      <c r="H116">
        <f t="shared" si="7"/>
        <v>115</v>
      </c>
      <c r="I116">
        <f t="shared" si="8"/>
        <v>124</v>
      </c>
      <c r="J116" t="str">
        <f t="shared" si="9"/>
        <v>ΔΥΤΙΚΗΣ ΜΑΚΕΔΟΝΙΑΣ</v>
      </c>
      <c r="K116" t="str">
        <f t="shared" si="10"/>
        <v>ΝΕΣΤΟΡΙΟΥ</v>
      </c>
      <c r="L116" s="170" t="s">
        <v>419</v>
      </c>
      <c r="M116" t="str">
        <f t="shared" si="6"/>
        <v xml:space="preserve">ΔΥΤΙΚΗΣ ΜΑΚΕΔΟΝΙΑΣ - ΝΕΣΤΟΡΙΟΥ, </v>
      </c>
      <c r="N116"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v>
      </c>
    </row>
    <row r="117" spans="1:14" x14ac:dyDescent="0.25">
      <c r="A117">
        <v>116</v>
      </c>
      <c r="B117" t="s">
        <v>405</v>
      </c>
      <c r="C117" t="s">
        <v>376</v>
      </c>
      <c r="D117" t="s">
        <v>156</v>
      </c>
      <c r="E117" s="204" t="s">
        <v>690</v>
      </c>
      <c r="F117" s="204">
        <v>14376</v>
      </c>
      <c r="G117" t="str">
        <f>LOOKUP(B117,ΠΕΡΙΦΕΡΕΙΑ!$A$2:$A$14,ΠΕΡΙΦΕΡΕΙΑ!$B$2:$B$14)</f>
        <v>Μερική</v>
      </c>
      <c r="H117">
        <f t="shared" si="7"/>
        <v>116</v>
      </c>
      <c r="I117">
        <f t="shared" si="8"/>
        <v>125</v>
      </c>
      <c r="J117" t="str">
        <f t="shared" si="9"/>
        <v>ΔΥΤΙΚΗΣ ΜΑΚΕΔΟΝΙΑΣ</v>
      </c>
      <c r="K117" t="str">
        <f t="shared" si="10"/>
        <v>ΟΡΕΣΤΙΔΟΣ</v>
      </c>
      <c r="L117" s="170" t="s">
        <v>419</v>
      </c>
      <c r="M117" t="str">
        <f t="shared" si="6"/>
        <v xml:space="preserve">ΔΥΤΙΚΗΣ ΜΑΚΕΔΟΝΙΑΣ - ΟΡΕΣΤΙΔΟΣ, </v>
      </c>
      <c r="N117"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v>
      </c>
    </row>
    <row r="118" spans="1:14" x14ac:dyDescent="0.25">
      <c r="A118">
        <v>117</v>
      </c>
      <c r="B118" t="s">
        <v>406</v>
      </c>
      <c r="C118" t="s">
        <v>168</v>
      </c>
      <c r="D118" t="s">
        <v>166</v>
      </c>
      <c r="E118" s="204" t="s">
        <v>691</v>
      </c>
      <c r="F118" s="204">
        <v>13970</v>
      </c>
      <c r="G118" t="str">
        <f>LOOKUP(B118,ΠΕΡΙΦΕΡΕΙΑ!$A$2:$A$14,ΠΕΡΙΦΕΡΕΙΑ!$B$2:$B$14)</f>
        <v>Μερική</v>
      </c>
      <c r="H118">
        <f t="shared" si="7"/>
        <v>117</v>
      </c>
      <c r="I118">
        <f t="shared" si="8"/>
        <v>126</v>
      </c>
      <c r="J118" t="str">
        <f t="shared" si="9"/>
        <v>ΔΥΤΙΚΗΣ ΜΑΚΕΔΟΝΙΑΣ</v>
      </c>
      <c r="K118" t="str">
        <f t="shared" si="10"/>
        <v>ΠΡΕΣΠΩΝ</v>
      </c>
      <c r="L118" s="170" t="s">
        <v>420</v>
      </c>
      <c r="M118" t="str">
        <f t="shared" si="6"/>
        <v/>
      </c>
      <c r="N118"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v>
      </c>
    </row>
    <row r="119" spans="1:14" x14ac:dyDescent="0.25">
      <c r="A119">
        <v>118</v>
      </c>
      <c r="B119" t="s">
        <v>406</v>
      </c>
      <c r="C119" t="s">
        <v>164</v>
      </c>
      <c r="D119" t="s">
        <v>162</v>
      </c>
      <c r="E119" s="204" t="s">
        <v>692</v>
      </c>
      <c r="F119" s="204">
        <v>14028</v>
      </c>
      <c r="G119" t="str">
        <f>LOOKUP(B119,ΠΕΡΙΦΕΡΕΙΑ!$A$2:$A$14,ΠΕΡΙΦΕΡΕΙΑ!$B$2:$B$14)</f>
        <v>Μερική</v>
      </c>
      <c r="H119">
        <f t="shared" si="7"/>
        <v>118</v>
      </c>
      <c r="I119">
        <f t="shared" si="8"/>
        <v>127</v>
      </c>
      <c r="J119" t="str">
        <f t="shared" si="9"/>
        <v>ΔΥΤΙΚΗΣ ΜΑΚΕΔΟΝΙΑΣ</v>
      </c>
      <c r="K119" t="str">
        <f t="shared" si="10"/>
        <v>ΣΕΡΒΙΩΝ – ΒΕΛΒΕΝΤΟΥ</v>
      </c>
      <c r="L119" s="170" t="s">
        <v>419</v>
      </c>
      <c r="M119" t="str">
        <f t="shared" si="6"/>
        <v xml:space="preserve">ΔΥΤΙΚΗΣ ΜΑΚΕΔΟΝΙΑΣ - ΣΕΡΒΙΩΝ – ΒΕΛΒΕΝΤΟΥ, </v>
      </c>
      <c r="N119"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v>
      </c>
    </row>
    <row r="120" spans="1:14" x14ac:dyDescent="0.25">
      <c r="A120">
        <v>119</v>
      </c>
      <c r="B120" t="s">
        <v>406</v>
      </c>
      <c r="C120" t="s">
        <v>157</v>
      </c>
      <c r="D120" t="s">
        <v>157</v>
      </c>
      <c r="E120" s="204" t="s">
        <v>693</v>
      </c>
      <c r="F120" s="204">
        <v>14038</v>
      </c>
      <c r="G120" t="str">
        <f>LOOKUP(B120,ΠΕΡΙΦΕΡΕΙΑ!$A$2:$A$14,ΠΕΡΙΦΕΡΕΙΑ!$B$2:$B$14)</f>
        <v>Μερική</v>
      </c>
      <c r="H120">
        <f t="shared" si="7"/>
        <v>119</v>
      </c>
      <c r="I120">
        <f t="shared" si="8"/>
        <v>128</v>
      </c>
      <c r="J120" t="str">
        <f t="shared" si="9"/>
        <v>ΔΥΤΙΚΗΣ ΜΑΚΕΔΟΝΙΑΣ</v>
      </c>
      <c r="K120" t="str">
        <f t="shared" si="10"/>
        <v>ΦΛΩΡΙΝΑΣ</v>
      </c>
      <c r="L120" s="170" t="s">
        <v>419</v>
      </c>
      <c r="M120" t="str">
        <f t="shared" si="6"/>
        <v xml:space="preserve">ΔΥΤΙΚΗΣ ΜΑΚΕΔΟΝΙΑΣ - ΦΛΩΡΙΝΑΣ, </v>
      </c>
      <c r="N120"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v>
      </c>
    </row>
    <row r="121" spans="1:14" x14ac:dyDescent="0.25">
      <c r="A121">
        <v>120</v>
      </c>
      <c r="B121" t="s">
        <v>406</v>
      </c>
      <c r="C121" t="s">
        <v>157</v>
      </c>
      <c r="D121" t="s">
        <v>158</v>
      </c>
      <c r="E121" s="204" t="s">
        <v>694</v>
      </c>
      <c r="F121" s="204">
        <v>14054</v>
      </c>
      <c r="G121" t="str">
        <f>LOOKUP(B121,ΠΕΡΙΦΕΡΕΙΑ!$A$2:$A$14,ΠΕΡΙΦΕΡΕΙΑ!$B$2:$B$14)</f>
        <v>Μερική</v>
      </c>
      <c r="H121">
        <f t="shared" si="7"/>
        <v>120</v>
      </c>
      <c r="I121">
        <f t="shared" si="8"/>
        <v>129</v>
      </c>
      <c r="J121" t="str">
        <f t="shared" si="9"/>
        <v>ΗΠΕΙΡΟΥ</v>
      </c>
      <c r="K121" t="str">
        <f t="shared" si="10"/>
        <v>ΑΡΤΑΙΩΝ</v>
      </c>
      <c r="L121" s="170" t="s">
        <v>419</v>
      </c>
      <c r="M121" t="str">
        <f t="shared" si="6"/>
        <v xml:space="preserve">ΗΠΕΙΡΟΥ - ΑΡΤΑΙΩΝ, </v>
      </c>
      <c r="N121"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v>
      </c>
    </row>
    <row r="122" spans="1:14" x14ac:dyDescent="0.25">
      <c r="A122">
        <v>121</v>
      </c>
      <c r="B122" t="s">
        <v>406</v>
      </c>
      <c r="C122" t="s">
        <v>164</v>
      </c>
      <c r="D122" t="s">
        <v>163</v>
      </c>
      <c r="E122" s="204" t="s">
        <v>695</v>
      </c>
      <c r="F122" s="204">
        <v>14090</v>
      </c>
      <c r="G122" t="str">
        <f>LOOKUP(B122,ΠΕΡΙΦΕΡΕΙΑ!$A$2:$A$14,ΠΕΡΙΦΕΡΕΙΑ!$B$2:$B$14)</f>
        <v>Μερική</v>
      </c>
      <c r="H122">
        <f t="shared" si="7"/>
        <v>121</v>
      </c>
      <c r="I122">
        <f t="shared" si="8"/>
        <v>130</v>
      </c>
      <c r="J122" t="str">
        <f t="shared" si="9"/>
        <v>ΗΠΕΙΡΟΥ</v>
      </c>
      <c r="K122" t="str">
        <f t="shared" si="10"/>
        <v>ΒΟΡΕΙΩΝ ΤΖΟΥΜΕΡΚΩΝ</v>
      </c>
      <c r="L122" s="170" t="s">
        <v>420</v>
      </c>
      <c r="M122" t="str">
        <f t="shared" si="6"/>
        <v/>
      </c>
      <c r="N122"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v>
      </c>
    </row>
    <row r="123" spans="1:14" x14ac:dyDescent="0.25">
      <c r="A123">
        <v>122</v>
      </c>
      <c r="B123" t="s">
        <v>406</v>
      </c>
      <c r="C123" t="s">
        <v>159</v>
      </c>
      <c r="D123" t="s">
        <v>159</v>
      </c>
      <c r="E123" s="204" t="s">
        <v>696</v>
      </c>
      <c r="F123" s="204">
        <v>14160</v>
      </c>
      <c r="G123" t="str">
        <f>LOOKUP(B123,ΠΕΡΙΦΕΡΕΙΑ!$A$2:$A$14,ΠΕΡΙΦΕΡΕΙΑ!$B$2:$B$14)</f>
        <v>Μερική</v>
      </c>
      <c r="H123">
        <f t="shared" si="7"/>
        <v>122</v>
      </c>
      <c r="I123">
        <f t="shared" si="8"/>
        <v>131</v>
      </c>
      <c r="J123" t="str">
        <f t="shared" si="9"/>
        <v>ΗΠΕΙΡΟΥ</v>
      </c>
      <c r="K123" t="str">
        <f t="shared" si="10"/>
        <v>ΓΕΩΡΓΙΟΥ ΚΑΡΑΪΣΚΑΚΗ</v>
      </c>
      <c r="L123" s="170" t="s">
        <v>420</v>
      </c>
      <c r="M123" t="str">
        <f t="shared" si="6"/>
        <v/>
      </c>
      <c r="N123"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v>
      </c>
    </row>
    <row r="124" spans="1:14" x14ac:dyDescent="0.25">
      <c r="A124">
        <v>123</v>
      </c>
      <c r="B124" t="s">
        <v>406</v>
      </c>
      <c r="C124" t="s">
        <v>164</v>
      </c>
      <c r="D124" t="s">
        <v>164</v>
      </c>
      <c r="E124" s="204" t="s">
        <v>697</v>
      </c>
      <c r="F124" s="204">
        <v>14218</v>
      </c>
      <c r="G124" t="str">
        <f>LOOKUP(B124,ΠΕΡΙΦΕΡΕΙΑ!$A$2:$A$14,ΠΕΡΙΦΕΡΕΙΑ!$B$2:$B$14)</f>
        <v>Μερική</v>
      </c>
      <c r="H124">
        <f t="shared" si="7"/>
        <v>123</v>
      </c>
      <c r="I124">
        <f t="shared" si="8"/>
        <v>132</v>
      </c>
      <c r="J124" t="str">
        <f t="shared" si="9"/>
        <v>ΗΠΕΙΡΟΥ</v>
      </c>
      <c r="K124" t="str">
        <f t="shared" si="10"/>
        <v>ΔΩΔΩΝΗΣ</v>
      </c>
      <c r="L124" s="170" t="s">
        <v>420</v>
      </c>
      <c r="M124" t="str">
        <f t="shared" si="6"/>
        <v/>
      </c>
      <c r="N124"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v>
      </c>
    </row>
    <row r="125" spans="1:14" x14ac:dyDescent="0.25">
      <c r="A125">
        <v>124</v>
      </c>
      <c r="B125" t="s">
        <v>406</v>
      </c>
      <c r="C125" t="s">
        <v>159</v>
      </c>
      <c r="D125" t="s">
        <v>160</v>
      </c>
      <c r="E125" s="204" t="s">
        <v>698</v>
      </c>
      <c r="F125" s="204">
        <v>14324</v>
      </c>
      <c r="G125" t="str">
        <f>LOOKUP(B125,ΠΕΡΙΦΕΡΕΙΑ!$A$2:$A$14,ΠΕΡΙΦΕΡΕΙΑ!$B$2:$B$14)</f>
        <v>Μερική</v>
      </c>
      <c r="H125">
        <f t="shared" si="7"/>
        <v>124</v>
      </c>
      <c r="I125">
        <f t="shared" si="8"/>
        <v>133</v>
      </c>
      <c r="J125" t="str">
        <f t="shared" si="9"/>
        <v>ΗΠΕΙΡΟΥ</v>
      </c>
      <c r="K125" t="str">
        <f t="shared" si="10"/>
        <v>ΖΑΓΟΡΙΟΥ</v>
      </c>
      <c r="L125" s="170" t="s">
        <v>420</v>
      </c>
      <c r="M125" t="str">
        <f t="shared" si="6"/>
        <v/>
      </c>
      <c r="N125"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v>
      </c>
    </row>
    <row r="126" spans="1:14" x14ac:dyDescent="0.25">
      <c r="A126">
        <v>125</v>
      </c>
      <c r="B126" t="s">
        <v>406</v>
      </c>
      <c r="C126" t="s">
        <v>159</v>
      </c>
      <c r="D126" t="s">
        <v>161</v>
      </c>
      <c r="E126" s="204" t="s">
        <v>699</v>
      </c>
      <c r="F126" s="204">
        <v>14354</v>
      </c>
      <c r="G126" t="str">
        <f>LOOKUP(B126,ΠΕΡΙΦΕΡΕΙΑ!$A$2:$A$14,ΠΕΡΙΦΕΡΕΙΑ!$B$2:$B$14)</f>
        <v>Μερική</v>
      </c>
      <c r="H126">
        <f t="shared" si="7"/>
        <v>125</v>
      </c>
      <c r="I126">
        <f t="shared" si="8"/>
        <v>134</v>
      </c>
      <c r="J126" t="str">
        <f t="shared" si="9"/>
        <v>ΗΠΕΙΡΟΥ</v>
      </c>
      <c r="K126" t="str">
        <f t="shared" si="10"/>
        <v>ΖΗΡΟΥ</v>
      </c>
      <c r="L126" s="170" t="s">
        <v>419</v>
      </c>
      <c r="M126" t="str">
        <f t="shared" si="6"/>
        <v xml:space="preserve">ΗΠΕΙΡΟΥ - ΖΗΡΟΥ, </v>
      </c>
      <c r="N126"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v>
      </c>
    </row>
    <row r="127" spans="1:14" x14ac:dyDescent="0.25">
      <c r="A127">
        <v>126</v>
      </c>
      <c r="B127" t="s">
        <v>406</v>
      </c>
      <c r="C127" t="s">
        <v>168</v>
      </c>
      <c r="D127" t="s">
        <v>167</v>
      </c>
      <c r="E127" s="204" t="s">
        <v>700</v>
      </c>
      <c r="F127" s="204">
        <v>14372</v>
      </c>
      <c r="G127" t="str">
        <f>LOOKUP(B127,ΠΕΡΙΦΕΡΕΙΑ!$A$2:$A$14,ΠΕΡΙΦΕΡΕΙΑ!$B$2:$B$14)</f>
        <v>Μερική</v>
      </c>
      <c r="H127">
        <f t="shared" si="7"/>
        <v>126</v>
      </c>
      <c r="I127">
        <f t="shared" si="8"/>
        <v>135</v>
      </c>
      <c r="J127" t="str">
        <f t="shared" si="9"/>
        <v>ΗΠΕΙΡΟΥ</v>
      </c>
      <c r="K127" t="str">
        <f t="shared" si="10"/>
        <v>ΖΙΤΣΑΣ</v>
      </c>
      <c r="L127" s="170" t="s">
        <v>419</v>
      </c>
      <c r="M127" t="str">
        <f t="shared" si="6"/>
        <v xml:space="preserve">ΗΠΕΙΡΟΥ - ΖΙΤΣΑΣ, </v>
      </c>
      <c r="N127"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v>
      </c>
    </row>
    <row r="128" spans="1:14" x14ac:dyDescent="0.25">
      <c r="A128">
        <v>127</v>
      </c>
      <c r="B128" t="s">
        <v>406</v>
      </c>
      <c r="C128" t="s">
        <v>164</v>
      </c>
      <c r="D128" t="s">
        <v>165</v>
      </c>
      <c r="E128" s="204" t="s">
        <v>701</v>
      </c>
      <c r="F128" s="204">
        <v>14438</v>
      </c>
      <c r="G128" t="str">
        <f>LOOKUP(B128,ΠΕΡΙΦΕΡΕΙΑ!$A$2:$A$14,ΠΕΡΙΦΕΡΕΙΑ!$B$2:$B$14)</f>
        <v>Μερική</v>
      </c>
      <c r="H128">
        <f t="shared" si="7"/>
        <v>127</v>
      </c>
      <c r="I128">
        <f t="shared" si="8"/>
        <v>136</v>
      </c>
      <c r="J128" t="str">
        <f t="shared" si="9"/>
        <v>ΗΠΕΙΡΟΥ</v>
      </c>
      <c r="K128" t="str">
        <f t="shared" si="10"/>
        <v>ΗΓΟΥΜΕΝΙΤΣΑΣ</v>
      </c>
      <c r="L128" s="170" t="s">
        <v>420</v>
      </c>
      <c r="M128" t="str">
        <f t="shared" si="6"/>
        <v/>
      </c>
      <c r="N128"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v>
      </c>
    </row>
    <row r="129" spans="1:14" x14ac:dyDescent="0.25">
      <c r="A129">
        <v>128</v>
      </c>
      <c r="B129" t="s">
        <v>406</v>
      </c>
      <c r="C129" t="s">
        <v>168</v>
      </c>
      <c r="D129" t="s">
        <v>168</v>
      </c>
      <c r="E129" s="204" t="s">
        <v>702</v>
      </c>
      <c r="F129" s="204">
        <v>14520</v>
      </c>
      <c r="G129" t="str">
        <f>LOOKUP(B129,ΠΕΡΙΦΕΡΕΙΑ!$A$2:$A$14,ΠΕΡΙΦΕΡΕΙΑ!$B$2:$B$14)</f>
        <v>Μερική</v>
      </c>
      <c r="H129">
        <f t="shared" si="7"/>
        <v>128</v>
      </c>
      <c r="I129">
        <f t="shared" si="8"/>
        <v>137</v>
      </c>
      <c r="J129" t="str">
        <f t="shared" si="9"/>
        <v>ΗΠΕΙΡΟΥ</v>
      </c>
      <c r="K129" t="str">
        <f t="shared" si="10"/>
        <v>ΙΩΑΝΝΙΤΩΝ</v>
      </c>
      <c r="L129" s="170" t="s">
        <v>419</v>
      </c>
      <c r="M129" t="str">
        <f t="shared" si="6"/>
        <v xml:space="preserve">ΗΠΕΙΡΟΥ - ΙΩΑΝΝΙΤΩΝ, </v>
      </c>
      <c r="N129"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v>
      </c>
    </row>
    <row r="130" spans="1:14" x14ac:dyDescent="0.25">
      <c r="A130">
        <v>129</v>
      </c>
      <c r="B130" t="s">
        <v>407</v>
      </c>
      <c r="C130" t="s">
        <v>377</v>
      </c>
      <c r="D130" t="s">
        <v>169</v>
      </c>
      <c r="E130" s="204" t="s">
        <v>703</v>
      </c>
      <c r="F130" s="204">
        <v>13998</v>
      </c>
      <c r="G130" t="str">
        <f>LOOKUP(B130,ΠΕΡΙΦΕΡΕΙΑ!$A$2:$A$14,ΠΕΡΙΦΕΡΕΙΑ!$B$2:$B$14)</f>
        <v>Μερική</v>
      </c>
      <c r="H130">
        <f t="shared" si="7"/>
        <v>129</v>
      </c>
      <c r="I130">
        <f t="shared" si="8"/>
        <v>138</v>
      </c>
      <c r="J130" t="str">
        <f t="shared" si="9"/>
        <v>ΗΠΕΙΡΟΥ</v>
      </c>
      <c r="K130" t="str">
        <f t="shared" si="10"/>
        <v>ΚΕΝΤΡΙΚΩΝ ΤΖΟΥΜΕΡΚΩΝ</v>
      </c>
      <c r="L130" s="170" t="s">
        <v>420</v>
      </c>
      <c r="M130" t="str">
        <f t="shared" ref="M130:M193" si="12">IF(K130&lt;&gt;"",IF(L130="ΝΑΙ",J130&amp;" - "&amp;K130&amp;", ",""),"")</f>
        <v/>
      </c>
      <c r="N130"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v>
      </c>
    </row>
    <row r="131" spans="1:14" x14ac:dyDescent="0.25">
      <c r="A131">
        <v>130</v>
      </c>
      <c r="B131" t="s">
        <v>407</v>
      </c>
      <c r="C131" t="s">
        <v>379</v>
      </c>
      <c r="D131" t="s">
        <v>176</v>
      </c>
      <c r="E131" s="204" t="s">
        <v>704</v>
      </c>
      <c r="F131" s="204">
        <v>14022</v>
      </c>
      <c r="G131" t="str">
        <f>LOOKUP(B131,ΠΕΡΙΦΕΡΕΙΑ!$A$2:$A$14,ΠΕΡΙΦΕΡΕΙΑ!$B$2:$B$14)</f>
        <v>Μερική</v>
      </c>
      <c r="H131">
        <f t="shared" ref="H131:H194" si="13">IF(G131="Μερική",A131,"")</f>
        <v>130</v>
      </c>
      <c r="I131">
        <f t="shared" ref="I131:I194" si="14">SMALL(H:H,A131)</f>
        <v>139</v>
      </c>
      <c r="J131" t="str">
        <f t="shared" ref="J131:J194" si="15">IF(ISNUMBER(I131),LOOKUP(I131,A:A,B:B),"")</f>
        <v>ΗΠΕΙΡΟΥ</v>
      </c>
      <c r="K131" t="str">
        <f t="shared" ref="K131:K194" si="16">IF(ISNUMBER(I131),LOOKUP(I131,A:A,D:D),"")</f>
        <v>ΚΟΝΙΤΣΑΣ</v>
      </c>
      <c r="L131" s="170" t="s">
        <v>420</v>
      </c>
      <c r="M131" t="str">
        <f t="shared" si="12"/>
        <v/>
      </c>
      <c r="N131" t="str">
        <f t="shared" si="11"/>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v>
      </c>
    </row>
    <row r="132" spans="1:14" x14ac:dyDescent="0.25">
      <c r="A132">
        <v>131</v>
      </c>
      <c r="B132" t="s">
        <v>407</v>
      </c>
      <c r="C132" t="s">
        <v>377</v>
      </c>
      <c r="D132" t="s">
        <v>170</v>
      </c>
      <c r="E132" s="204" t="s">
        <v>705</v>
      </c>
      <c r="F132" s="204">
        <v>14042</v>
      </c>
      <c r="G132" t="str">
        <f>LOOKUP(B132,ΠΕΡΙΦΕΡΕΙΑ!$A$2:$A$14,ΠΕΡΙΦΕΡΕΙΑ!$B$2:$B$14)</f>
        <v>Μερική</v>
      </c>
      <c r="H132">
        <f t="shared" si="13"/>
        <v>131</v>
      </c>
      <c r="I132">
        <f t="shared" si="14"/>
        <v>140</v>
      </c>
      <c r="J132" t="str">
        <f t="shared" si="15"/>
        <v>ΗΠΕΙΡΟΥ</v>
      </c>
      <c r="K132" t="str">
        <f t="shared" si="16"/>
        <v>ΜΕΤΣΟΒΟΥ</v>
      </c>
      <c r="L132" s="170" t="s">
        <v>419</v>
      </c>
      <c r="M132" t="str">
        <f t="shared" si="12"/>
        <v xml:space="preserve">ΗΠΕΙΡΟΥ - ΜΕΤΣΟΒΟΥ, </v>
      </c>
      <c r="N132" t="str">
        <f t="shared" ref="N132:N195" si="17">N131&amp;M132</f>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v>
      </c>
    </row>
    <row r="133" spans="1:14" x14ac:dyDescent="0.25">
      <c r="A133">
        <v>132</v>
      </c>
      <c r="B133" t="s">
        <v>407</v>
      </c>
      <c r="C133" t="s">
        <v>379</v>
      </c>
      <c r="D133" t="s">
        <v>177</v>
      </c>
      <c r="E133" s="204" t="s">
        <v>706</v>
      </c>
      <c r="F133" s="204">
        <v>14076</v>
      </c>
      <c r="G133" t="str">
        <f>LOOKUP(B133,ΠΕΡΙΦΕΡΕΙΑ!$A$2:$A$14,ΠΕΡΙΦΕΡΕΙΑ!$B$2:$B$14)</f>
        <v>Μερική</v>
      </c>
      <c r="H133">
        <f t="shared" si="13"/>
        <v>132</v>
      </c>
      <c r="I133">
        <f t="shared" si="14"/>
        <v>141</v>
      </c>
      <c r="J133" t="str">
        <f t="shared" si="15"/>
        <v>ΗΠΕΙΡΟΥ</v>
      </c>
      <c r="K133" t="str">
        <f t="shared" si="16"/>
        <v>ΝΙΚΟΛΑΟΥ ΣΚΟΥΦΑ</v>
      </c>
      <c r="L133" s="170" t="s">
        <v>420</v>
      </c>
      <c r="M133" t="str">
        <f t="shared" si="12"/>
        <v/>
      </c>
      <c r="N133"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v>
      </c>
    </row>
    <row r="134" spans="1:14" x14ac:dyDescent="0.25">
      <c r="A134">
        <v>133</v>
      </c>
      <c r="B134" t="s">
        <v>407</v>
      </c>
      <c r="C134" t="s">
        <v>379</v>
      </c>
      <c r="D134" t="s">
        <v>178</v>
      </c>
      <c r="E134" s="204" t="s">
        <v>707</v>
      </c>
      <c r="F134" s="204">
        <v>14104</v>
      </c>
      <c r="G134" t="str">
        <f>LOOKUP(B134,ΠΕΡΙΦΕΡΕΙΑ!$A$2:$A$14,ΠΕΡΙΦΕΡΕΙΑ!$B$2:$B$14)</f>
        <v>Μερική</v>
      </c>
      <c r="H134">
        <f t="shared" si="13"/>
        <v>133</v>
      </c>
      <c r="I134">
        <f t="shared" si="14"/>
        <v>142</v>
      </c>
      <c r="J134" t="str">
        <f t="shared" si="15"/>
        <v>ΗΠΕΙΡΟΥ</v>
      </c>
      <c r="K134" t="str">
        <f t="shared" si="16"/>
        <v>ΠΑΡΓΑΣ</v>
      </c>
      <c r="L134" s="170" t="s">
        <v>420</v>
      </c>
      <c r="M134" t="str">
        <f t="shared" si="12"/>
        <v/>
      </c>
      <c r="N134"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v>
      </c>
    </row>
    <row r="135" spans="1:14" x14ac:dyDescent="0.25">
      <c r="A135">
        <v>134</v>
      </c>
      <c r="B135" t="s">
        <v>407</v>
      </c>
      <c r="C135" t="s">
        <v>186</v>
      </c>
      <c r="D135" t="s">
        <v>184</v>
      </c>
      <c r="E135" s="204" t="s">
        <v>708</v>
      </c>
      <c r="F135" s="204">
        <v>14112</v>
      </c>
      <c r="G135" t="str">
        <f>LOOKUP(B135,ΠΕΡΙΦΕΡΕΙΑ!$A$2:$A$14,ΠΕΡΙΦΕΡΕΙΑ!$B$2:$B$14)</f>
        <v>Μερική</v>
      </c>
      <c r="H135">
        <f t="shared" si="13"/>
        <v>134</v>
      </c>
      <c r="I135">
        <f t="shared" si="14"/>
        <v>143</v>
      </c>
      <c r="J135" t="str">
        <f t="shared" si="15"/>
        <v>ΗΠΕΙΡΟΥ</v>
      </c>
      <c r="K135" t="str">
        <f t="shared" si="16"/>
        <v>ΠΡΕΒΕΖΑΣ</v>
      </c>
      <c r="L135" s="170" t="s">
        <v>419</v>
      </c>
      <c r="M135" t="str">
        <f t="shared" si="12"/>
        <v xml:space="preserve">ΗΠΕΙΡΟΥ - ΠΡΕΒΕΖΑΣ, </v>
      </c>
      <c r="N135"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v>
      </c>
    </row>
    <row r="136" spans="1:14" x14ac:dyDescent="0.25">
      <c r="A136">
        <v>135</v>
      </c>
      <c r="B136" t="s">
        <v>407</v>
      </c>
      <c r="C136" t="s">
        <v>379</v>
      </c>
      <c r="D136" t="s">
        <v>179</v>
      </c>
      <c r="E136" s="204" t="s">
        <v>709</v>
      </c>
      <c r="F136" s="204">
        <v>14114</v>
      </c>
      <c r="G136" t="str">
        <f>LOOKUP(B136,ΠΕΡΙΦΕΡΕΙΑ!$A$2:$A$14,ΠΕΡΙΦΕΡΕΙΑ!$B$2:$B$14)</f>
        <v>Μερική</v>
      </c>
      <c r="H136">
        <f t="shared" si="13"/>
        <v>135</v>
      </c>
      <c r="I136">
        <f t="shared" si="14"/>
        <v>144</v>
      </c>
      <c r="J136" t="str">
        <f t="shared" si="15"/>
        <v>ΗΠΕΙΡΟΥ</v>
      </c>
      <c r="K136" t="str">
        <f t="shared" si="16"/>
        <v>ΠΩΓΩΝΙΟΥ</v>
      </c>
      <c r="L136" s="170" t="s">
        <v>420</v>
      </c>
      <c r="M136" t="str">
        <f t="shared" si="12"/>
        <v/>
      </c>
      <c r="N136"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v>
      </c>
    </row>
    <row r="137" spans="1:14" x14ac:dyDescent="0.25">
      <c r="A137">
        <v>136</v>
      </c>
      <c r="B137" t="s">
        <v>407</v>
      </c>
      <c r="C137" t="s">
        <v>378</v>
      </c>
      <c r="D137" t="s">
        <v>173</v>
      </c>
      <c r="E137" s="204" t="s">
        <v>710</v>
      </c>
      <c r="F137" s="204">
        <v>14106</v>
      </c>
      <c r="G137" t="str">
        <f>LOOKUP(B137,ΠΕΡΙΦΕΡΕΙΑ!$A$2:$A$14,ΠΕΡΙΦΕΡΕΙΑ!$B$2:$B$14)</f>
        <v>Μερική</v>
      </c>
      <c r="H137">
        <f t="shared" si="13"/>
        <v>136</v>
      </c>
      <c r="I137">
        <f t="shared" si="14"/>
        <v>145</v>
      </c>
      <c r="J137" t="str">
        <f t="shared" si="15"/>
        <v>ΗΠΕΙΡΟΥ</v>
      </c>
      <c r="K137" t="str">
        <f t="shared" si="16"/>
        <v>ΣΟΥΛΙΟΥ</v>
      </c>
      <c r="L137" s="170" t="s">
        <v>420</v>
      </c>
      <c r="M137" t="str">
        <f t="shared" si="12"/>
        <v/>
      </c>
      <c r="N137"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v>
      </c>
    </row>
    <row r="138" spans="1:14" x14ac:dyDescent="0.25">
      <c r="A138">
        <v>137</v>
      </c>
      <c r="B138" t="s">
        <v>407</v>
      </c>
      <c r="C138" t="s">
        <v>379</v>
      </c>
      <c r="D138" t="s">
        <v>180</v>
      </c>
      <c r="E138" s="204" t="s">
        <v>711</v>
      </c>
      <c r="F138" s="204">
        <v>14154</v>
      </c>
      <c r="G138" t="str">
        <f>LOOKUP(B138,ΠΕΡΙΦΕΡΕΙΑ!$A$2:$A$14,ΠΕΡΙΦΕΡΕΙΑ!$B$2:$B$14)</f>
        <v>Μερική</v>
      </c>
      <c r="H138">
        <f t="shared" si="13"/>
        <v>137</v>
      </c>
      <c r="I138">
        <f t="shared" si="14"/>
        <v>146</v>
      </c>
      <c r="J138" t="str">
        <f t="shared" si="15"/>
        <v>ΗΠΕΙΡΟΥ</v>
      </c>
      <c r="K138" t="str">
        <f t="shared" si="16"/>
        <v>ΦΙΛΙΑΤΩΝ</v>
      </c>
      <c r="L138" s="170" t="s">
        <v>420</v>
      </c>
      <c r="M138" t="str">
        <f t="shared" si="12"/>
        <v/>
      </c>
      <c r="N138"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v>
      </c>
    </row>
    <row r="139" spans="1:14" x14ac:dyDescent="0.25">
      <c r="A139">
        <v>138</v>
      </c>
      <c r="B139" t="s">
        <v>407</v>
      </c>
      <c r="C139" t="s">
        <v>377</v>
      </c>
      <c r="D139" t="s">
        <v>171</v>
      </c>
      <c r="E139" s="204" t="s">
        <v>712</v>
      </c>
      <c r="F139" s="204">
        <v>14162</v>
      </c>
      <c r="G139" t="str">
        <f>LOOKUP(B139,ΠΕΡΙΦΕΡΕΙΑ!$A$2:$A$14,ΠΕΡΙΦΕΡΕΙΑ!$B$2:$B$14)</f>
        <v>Μερική</v>
      </c>
      <c r="H139">
        <f t="shared" si="13"/>
        <v>138</v>
      </c>
      <c r="I139">
        <f t="shared" si="14"/>
        <v>147</v>
      </c>
      <c r="J139" t="str">
        <f t="shared" si="15"/>
        <v>ΘΕΣΣΑΛΙΑΣ</v>
      </c>
      <c r="K139" t="str">
        <f t="shared" si="16"/>
        <v>ΑΓΙΑΣ</v>
      </c>
      <c r="L139" s="170" t="s">
        <v>420</v>
      </c>
      <c r="M139" t="str">
        <f t="shared" si="12"/>
        <v/>
      </c>
      <c r="N139"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v>
      </c>
    </row>
    <row r="140" spans="1:14" x14ac:dyDescent="0.25">
      <c r="A140">
        <v>139</v>
      </c>
      <c r="B140" t="s">
        <v>407</v>
      </c>
      <c r="C140" t="s">
        <v>379</v>
      </c>
      <c r="D140" t="s">
        <v>181</v>
      </c>
      <c r="E140" s="204" t="s">
        <v>713</v>
      </c>
      <c r="F140" s="204">
        <v>14222</v>
      </c>
      <c r="G140" t="str">
        <f>LOOKUP(B140,ΠΕΡΙΦΕΡΕΙΑ!$A$2:$A$14,ΠΕΡΙΦΕΡΕΙΑ!$B$2:$B$14)</f>
        <v>Μερική</v>
      </c>
      <c r="H140">
        <f t="shared" si="13"/>
        <v>139</v>
      </c>
      <c r="I140">
        <f t="shared" si="14"/>
        <v>148</v>
      </c>
      <c r="J140" t="str">
        <f t="shared" si="15"/>
        <v>ΘΕΣΣΑΛΙΑΣ</v>
      </c>
      <c r="K140" t="str">
        <f t="shared" si="16"/>
        <v>ΑΛΜΥΡΟΥ</v>
      </c>
      <c r="L140" s="170" t="s">
        <v>420</v>
      </c>
      <c r="M140" t="str">
        <f t="shared" si="12"/>
        <v/>
      </c>
      <c r="N140"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v>
      </c>
    </row>
    <row r="141" spans="1:14" x14ac:dyDescent="0.25">
      <c r="A141">
        <v>140</v>
      </c>
      <c r="B141" t="s">
        <v>407</v>
      </c>
      <c r="C141" t="s">
        <v>379</v>
      </c>
      <c r="D141" t="s">
        <v>182</v>
      </c>
      <c r="E141" s="204" t="s">
        <v>714</v>
      </c>
      <c r="F141" s="204">
        <v>14294</v>
      </c>
      <c r="G141" t="str">
        <f>LOOKUP(B141,ΠΕΡΙΦΕΡΕΙΑ!$A$2:$A$14,ΠΕΡΙΦΕΡΕΙΑ!$B$2:$B$14)</f>
        <v>Μερική</v>
      </c>
      <c r="H141">
        <f t="shared" si="13"/>
        <v>140</v>
      </c>
      <c r="I141">
        <f t="shared" si="14"/>
        <v>149</v>
      </c>
      <c r="J141" t="str">
        <f t="shared" si="15"/>
        <v>ΘΕΣΣΑΛΙΑΣ</v>
      </c>
      <c r="K141" t="str">
        <f t="shared" si="16"/>
        <v>ΑΛΟΝΝΗΣΟΥ</v>
      </c>
      <c r="L141" s="170" t="s">
        <v>420</v>
      </c>
      <c r="M141" t="str">
        <f t="shared" si="12"/>
        <v/>
      </c>
      <c r="N141"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v>
      </c>
    </row>
    <row r="142" spans="1:14" x14ac:dyDescent="0.25">
      <c r="A142">
        <v>141</v>
      </c>
      <c r="B142" t="s">
        <v>407</v>
      </c>
      <c r="C142" t="s">
        <v>377</v>
      </c>
      <c r="D142" t="s">
        <v>172</v>
      </c>
      <c r="E142" s="204" t="s">
        <v>715</v>
      </c>
      <c r="F142" s="204">
        <v>14326</v>
      </c>
      <c r="G142" t="str">
        <f>LOOKUP(B142,ΠΕΡΙΦΕΡΕΙΑ!$A$2:$A$14,ΠΕΡΙΦΕΡΕΙΑ!$B$2:$B$14)</f>
        <v>Μερική</v>
      </c>
      <c r="H142">
        <f t="shared" si="13"/>
        <v>141</v>
      </c>
      <c r="I142">
        <f t="shared" si="14"/>
        <v>150</v>
      </c>
      <c r="J142" t="str">
        <f t="shared" si="15"/>
        <v>ΘΕΣΣΑΛΙΑΣ</v>
      </c>
      <c r="K142" t="str">
        <f t="shared" si="16"/>
        <v>ΑΡΓΙΘΕΑΣ</v>
      </c>
      <c r="L142" s="170" t="s">
        <v>420</v>
      </c>
      <c r="M142" t="str">
        <f t="shared" si="12"/>
        <v/>
      </c>
      <c r="N142"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v>
      </c>
    </row>
    <row r="143" spans="1:14" x14ac:dyDescent="0.25">
      <c r="A143">
        <v>142</v>
      </c>
      <c r="B143" t="s">
        <v>407</v>
      </c>
      <c r="C143" t="s">
        <v>186</v>
      </c>
      <c r="D143" t="s">
        <v>185</v>
      </c>
      <c r="E143" s="204" t="s">
        <v>716</v>
      </c>
      <c r="F143" s="204">
        <v>14398</v>
      </c>
      <c r="G143" t="str">
        <f>LOOKUP(B143,ΠΕΡΙΦΕΡΕΙΑ!$A$2:$A$14,ΠΕΡΙΦΕΡΕΙΑ!$B$2:$B$14)</f>
        <v>Μερική</v>
      </c>
      <c r="H143">
        <f t="shared" si="13"/>
        <v>142</v>
      </c>
      <c r="I143">
        <f t="shared" si="14"/>
        <v>151</v>
      </c>
      <c r="J143" t="str">
        <f t="shared" si="15"/>
        <v>ΘΕΣΣΑΛΙΑΣ</v>
      </c>
      <c r="K143" t="str">
        <f t="shared" si="16"/>
        <v>ΒΟΛΟΥ</v>
      </c>
      <c r="L143" s="170" t="s">
        <v>419</v>
      </c>
      <c r="M143" t="str">
        <f t="shared" si="12"/>
        <v xml:space="preserve">ΘΕΣΣΑΛΙΑΣ - ΒΟΛΟΥ, </v>
      </c>
      <c r="N143"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v>
      </c>
    </row>
    <row r="144" spans="1:14" x14ac:dyDescent="0.25">
      <c r="A144">
        <v>143</v>
      </c>
      <c r="B144" t="s">
        <v>407</v>
      </c>
      <c r="C144" t="s">
        <v>186</v>
      </c>
      <c r="D144" t="s">
        <v>186</v>
      </c>
      <c r="E144" s="204" t="s">
        <v>717</v>
      </c>
      <c r="F144" s="204">
        <v>14418</v>
      </c>
      <c r="G144" t="str">
        <f>LOOKUP(B144,ΠΕΡΙΦΕΡΕΙΑ!$A$2:$A$14,ΠΕΡΙΦΕΡΕΙΑ!$B$2:$B$14)</f>
        <v>Μερική</v>
      </c>
      <c r="H144">
        <f t="shared" si="13"/>
        <v>143</v>
      </c>
      <c r="I144">
        <f t="shared" si="14"/>
        <v>152</v>
      </c>
      <c r="J144" t="str">
        <f t="shared" si="15"/>
        <v>ΘΕΣΣΑΛΙΑΣ</v>
      </c>
      <c r="K144" t="str">
        <f t="shared" si="16"/>
        <v>ΕΛΑΣΣΟΝΑΣ</v>
      </c>
      <c r="L144" s="170" t="s">
        <v>420</v>
      </c>
      <c r="M144" t="str">
        <f t="shared" si="12"/>
        <v/>
      </c>
      <c r="N144"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v>
      </c>
    </row>
    <row r="145" spans="1:14" x14ac:dyDescent="0.25">
      <c r="A145">
        <v>144</v>
      </c>
      <c r="B145" t="s">
        <v>407</v>
      </c>
      <c r="C145" t="s">
        <v>379</v>
      </c>
      <c r="D145" t="s">
        <v>183</v>
      </c>
      <c r="E145" s="204" t="s">
        <v>718</v>
      </c>
      <c r="F145" s="204">
        <v>14378</v>
      </c>
      <c r="G145" t="str">
        <f>LOOKUP(B145,ΠΕΡΙΦΕΡΕΙΑ!$A$2:$A$14,ΠΕΡΙΦΕΡΕΙΑ!$B$2:$B$14)</f>
        <v>Μερική</v>
      </c>
      <c r="H145">
        <f t="shared" si="13"/>
        <v>144</v>
      </c>
      <c r="I145">
        <f t="shared" si="14"/>
        <v>153</v>
      </c>
      <c r="J145" t="str">
        <f t="shared" si="15"/>
        <v>ΘΕΣΣΑΛΙΑΣ</v>
      </c>
      <c r="K145" t="str">
        <f t="shared" si="16"/>
        <v>ΖΑΓΟΡΑΣ – ΜΟΥΡΕΣΙΟΥ</v>
      </c>
      <c r="L145" s="170" t="s">
        <v>420</v>
      </c>
      <c r="M145" t="str">
        <f t="shared" si="12"/>
        <v/>
      </c>
      <c r="N145"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v>
      </c>
    </row>
    <row r="146" spans="1:14" x14ac:dyDescent="0.25">
      <c r="A146">
        <v>145</v>
      </c>
      <c r="B146" t="s">
        <v>407</v>
      </c>
      <c r="C146" t="s">
        <v>378</v>
      </c>
      <c r="D146" t="s">
        <v>174</v>
      </c>
      <c r="E146" s="204" t="s">
        <v>719</v>
      </c>
      <c r="F146" s="204">
        <v>14468</v>
      </c>
      <c r="G146" t="str">
        <f>LOOKUP(B146,ΠΕΡΙΦΕΡΕΙΑ!$A$2:$A$14,ΠΕΡΙΦΕΡΕΙΑ!$B$2:$B$14)</f>
        <v>Μερική</v>
      </c>
      <c r="H146">
        <f t="shared" si="13"/>
        <v>145</v>
      </c>
      <c r="I146">
        <f t="shared" si="14"/>
        <v>154</v>
      </c>
      <c r="J146" t="str">
        <f t="shared" si="15"/>
        <v>ΘΕΣΣΑΛΙΑΣ</v>
      </c>
      <c r="K146" t="str">
        <f t="shared" si="16"/>
        <v>ΚΑΛΑΜΠΑΚΑΣ</v>
      </c>
      <c r="L146" s="170" t="s">
        <v>420</v>
      </c>
      <c r="M146" t="str">
        <f t="shared" si="12"/>
        <v/>
      </c>
      <c r="N146"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v>
      </c>
    </row>
    <row r="147" spans="1:14" x14ac:dyDescent="0.25">
      <c r="A147">
        <v>146</v>
      </c>
      <c r="B147" t="s">
        <v>407</v>
      </c>
      <c r="C147" t="s">
        <v>378</v>
      </c>
      <c r="D147" t="s">
        <v>175</v>
      </c>
      <c r="E147" s="204" t="s">
        <v>720</v>
      </c>
      <c r="F147" s="204">
        <v>14516</v>
      </c>
      <c r="G147" t="str">
        <f>LOOKUP(B147,ΠΕΡΙΦΕΡΕΙΑ!$A$2:$A$14,ΠΕΡΙΦΕΡΕΙΑ!$B$2:$B$14)</f>
        <v>Μερική</v>
      </c>
      <c r="H147">
        <f t="shared" si="13"/>
        <v>146</v>
      </c>
      <c r="I147">
        <f t="shared" si="14"/>
        <v>155</v>
      </c>
      <c r="J147" t="str">
        <f t="shared" si="15"/>
        <v>ΘΕΣΣΑΛΙΑΣ</v>
      </c>
      <c r="K147" t="str">
        <f t="shared" si="16"/>
        <v>ΚΑΡΔΙΤΣΑΣ</v>
      </c>
      <c r="L147" s="170" t="s">
        <v>419</v>
      </c>
      <c r="M147" t="str">
        <f t="shared" si="12"/>
        <v xml:space="preserve">ΘΕΣΣΑΛΙΑΣ - ΚΑΡΔΙΤΣΑΣ, </v>
      </c>
      <c r="N147"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v>
      </c>
    </row>
    <row r="148" spans="1:14" x14ac:dyDescent="0.25">
      <c r="A148">
        <v>147</v>
      </c>
      <c r="B148" t="s">
        <v>408</v>
      </c>
      <c r="C148" t="s">
        <v>380</v>
      </c>
      <c r="D148" t="s">
        <v>193</v>
      </c>
      <c r="E148" s="204" t="s">
        <v>721</v>
      </c>
      <c r="F148" s="204">
        <v>13938</v>
      </c>
      <c r="G148" t="str">
        <f>LOOKUP(B148,ΠΕΡΙΦΕΡΕΙΑ!$A$2:$A$14,ΠΕΡΙΦΕΡΕΙΑ!$B$2:$B$14)</f>
        <v>Μερική</v>
      </c>
      <c r="H148">
        <f t="shared" si="13"/>
        <v>147</v>
      </c>
      <c r="I148">
        <f t="shared" si="14"/>
        <v>156</v>
      </c>
      <c r="J148" t="str">
        <f t="shared" si="15"/>
        <v>ΘΕΣΣΑΛΙΑΣ</v>
      </c>
      <c r="K148" t="str">
        <f t="shared" si="16"/>
        <v>ΚΙΛΕΛΕΡ</v>
      </c>
      <c r="L148" s="170" t="s">
        <v>420</v>
      </c>
      <c r="M148" t="str">
        <f t="shared" si="12"/>
        <v/>
      </c>
      <c r="N148"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v>
      </c>
    </row>
    <row r="149" spans="1:14" x14ac:dyDescent="0.25">
      <c r="A149">
        <v>148</v>
      </c>
      <c r="B149" t="s">
        <v>408</v>
      </c>
      <c r="C149" t="s">
        <v>381</v>
      </c>
      <c r="D149" t="s">
        <v>200</v>
      </c>
      <c r="E149" s="204" t="s">
        <v>722</v>
      </c>
      <c r="F149" s="204">
        <v>13958</v>
      </c>
      <c r="G149" t="str">
        <f>LOOKUP(B149,ΠΕΡΙΦΕΡΕΙΑ!$A$2:$A$14,ΠΕΡΙΦΕΡΕΙΑ!$B$2:$B$14)</f>
        <v>Μερική</v>
      </c>
      <c r="H149">
        <f t="shared" si="13"/>
        <v>148</v>
      </c>
      <c r="I149">
        <f t="shared" si="14"/>
        <v>157</v>
      </c>
      <c r="J149" t="str">
        <f t="shared" si="15"/>
        <v>ΘΕΣΣΑΛΙΑΣ</v>
      </c>
      <c r="K149" t="str">
        <f t="shared" si="16"/>
        <v>ΛΑΡΙΣΑΙΩΝ</v>
      </c>
      <c r="L149" s="170" t="s">
        <v>419</v>
      </c>
      <c r="M149" t="str">
        <f t="shared" si="12"/>
        <v xml:space="preserve">ΘΕΣΣΑΛΙΑΣ - ΛΑΡΙΣΑΙΩΝ, </v>
      </c>
      <c r="N149"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v>
      </c>
    </row>
    <row r="150" spans="1:14" x14ac:dyDescent="0.25">
      <c r="A150">
        <v>149</v>
      </c>
      <c r="B150" t="s">
        <v>408</v>
      </c>
      <c r="C150" t="s">
        <v>382</v>
      </c>
      <c r="D150" t="s">
        <v>205</v>
      </c>
      <c r="E150" s="204" t="s">
        <v>723</v>
      </c>
      <c r="F150" s="204">
        <v>13960</v>
      </c>
      <c r="G150" t="str">
        <f>LOOKUP(B150,ΠΕΡΙΦΕΡΕΙΑ!$A$2:$A$14,ΠΕΡΙΦΕΡΕΙΑ!$B$2:$B$14)</f>
        <v>Μερική</v>
      </c>
      <c r="H150">
        <f t="shared" si="13"/>
        <v>149</v>
      </c>
      <c r="I150">
        <f t="shared" si="14"/>
        <v>158</v>
      </c>
      <c r="J150" t="str">
        <f t="shared" si="15"/>
        <v>ΘΕΣΣΑΛΙΑΣ</v>
      </c>
      <c r="K150" t="str">
        <f t="shared" si="16"/>
        <v>ΛΙΜΝΗΣ ΠΛΑΣΤΗΡΑ</v>
      </c>
      <c r="L150" s="170" t="s">
        <v>420</v>
      </c>
      <c r="M150" t="str">
        <f t="shared" si="12"/>
        <v/>
      </c>
      <c r="N150"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v>
      </c>
    </row>
    <row r="151" spans="1:14" x14ac:dyDescent="0.25">
      <c r="A151">
        <v>150</v>
      </c>
      <c r="B151" t="s">
        <v>408</v>
      </c>
      <c r="C151" t="s">
        <v>188</v>
      </c>
      <c r="D151" t="s">
        <v>187</v>
      </c>
      <c r="E151" s="204" t="s">
        <v>724</v>
      </c>
      <c r="F151" s="204">
        <v>13992</v>
      </c>
      <c r="G151" t="str">
        <f>LOOKUP(B151,ΠΕΡΙΦΕΡΕΙΑ!$A$2:$A$14,ΠΕΡΙΦΕΡΕΙΑ!$B$2:$B$14)</f>
        <v>Μερική</v>
      </c>
      <c r="H151">
        <f t="shared" si="13"/>
        <v>150</v>
      </c>
      <c r="I151">
        <f t="shared" si="14"/>
        <v>159</v>
      </c>
      <c r="J151" t="str">
        <f t="shared" si="15"/>
        <v>ΘΕΣΣΑΛΙΑΣ</v>
      </c>
      <c r="K151" t="str">
        <f t="shared" si="16"/>
        <v>ΜΟΥΖΑΚΙΟΥ</v>
      </c>
      <c r="L151" s="170" t="s">
        <v>420</v>
      </c>
      <c r="M151" t="str">
        <f t="shared" si="12"/>
        <v/>
      </c>
      <c r="N151"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v>
      </c>
    </row>
    <row r="152" spans="1:14" x14ac:dyDescent="0.25">
      <c r="A152">
        <v>151</v>
      </c>
      <c r="B152" t="s">
        <v>408</v>
      </c>
      <c r="C152" t="s">
        <v>381</v>
      </c>
      <c r="D152" t="s">
        <v>201</v>
      </c>
      <c r="E152" s="204" t="s">
        <v>725</v>
      </c>
      <c r="F152" s="204">
        <v>14034</v>
      </c>
      <c r="G152" t="str">
        <f>LOOKUP(B152,ΠΕΡΙΦΕΡΕΙΑ!$A$2:$A$14,ΠΕΡΙΦΕΡΕΙΑ!$B$2:$B$14)</f>
        <v>Μερική</v>
      </c>
      <c r="H152">
        <f t="shared" si="13"/>
        <v>151</v>
      </c>
      <c r="I152">
        <f t="shared" si="14"/>
        <v>160</v>
      </c>
      <c r="J152" t="str">
        <f t="shared" si="15"/>
        <v>ΘΕΣΣΑΛΙΑΣ</v>
      </c>
      <c r="K152" t="str">
        <f t="shared" si="16"/>
        <v>ΝΟΤΙΟΥ ΠΗΛΙΟΥ</v>
      </c>
      <c r="L152" s="170" t="s">
        <v>420</v>
      </c>
      <c r="M152" t="str">
        <f t="shared" si="12"/>
        <v/>
      </c>
      <c r="N152"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v>
      </c>
    </row>
    <row r="153" spans="1:14" x14ac:dyDescent="0.25">
      <c r="A153">
        <v>152</v>
      </c>
      <c r="B153" t="s">
        <v>408</v>
      </c>
      <c r="C153" t="s">
        <v>380</v>
      </c>
      <c r="D153" t="s">
        <v>194</v>
      </c>
      <c r="E153" s="204" t="s">
        <v>726</v>
      </c>
      <c r="F153" s="204">
        <v>14082</v>
      </c>
      <c r="G153" t="str">
        <f>LOOKUP(B153,ΠΕΡΙΦΕΡΕΙΑ!$A$2:$A$14,ΠΕΡΙΦΕΡΕΙΑ!$B$2:$B$14)</f>
        <v>Μερική</v>
      </c>
      <c r="H153">
        <f t="shared" si="13"/>
        <v>152</v>
      </c>
      <c r="I153">
        <f t="shared" si="14"/>
        <v>161</v>
      </c>
      <c r="J153" t="str">
        <f t="shared" si="15"/>
        <v>ΘΕΣΣΑΛΙΑΣ</v>
      </c>
      <c r="K153" t="str">
        <f t="shared" si="16"/>
        <v>ΠΑΛΑΜΑ</v>
      </c>
      <c r="L153" s="170" t="s">
        <v>420</v>
      </c>
      <c r="M153" t="str">
        <f t="shared" si="12"/>
        <v/>
      </c>
      <c r="N153"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v>
      </c>
    </row>
    <row r="154" spans="1:14" x14ac:dyDescent="0.25">
      <c r="A154">
        <v>153</v>
      </c>
      <c r="B154" t="s">
        <v>408</v>
      </c>
      <c r="C154" t="s">
        <v>381</v>
      </c>
      <c r="D154" t="s">
        <v>202</v>
      </c>
      <c r="E154" s="204" t="s">
        <v>727</v>
      </c>
      <c r="F154" s="204">
        <v>14102</v>
      </c>
      <c r="G154" t="str">
        <f>LOOKUP(B154,ΠΕΡΙΦΕΡΕΙΑ!$A$2:$A$14,ΠΕΡΙΦΕΡΕΙΑ!$B$2:$B$14)</f>
        <v>Μερική</v>
      </c>
      <c r="H154">
        <f t="shared" si="13"/>
        <v>153</v>
      </c>
      <c r="I154">
        <f t="shared" si="14"/>
        <v>162</v>
      </c>
      <c r="J154" t="str">
        <f t="shared" si="15"/>
        <v>ΘΕΣΣΑΛΙΑΣ</v>
      </c>
      <c r="K154" t="str">
        <f t="shared" si="16"/>
        <v>ΠΥΛΗΣ</v>
      </c>
      <c r="L154" s="170" t="s">
        <v>420</v>
      </c>
      <c r="M154" t="str">
        <f t="shared" si="12"/>
        <v/>
      </c>
      <c r="N154"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v>
      </c>
    </row>
    <row r="155" spans="1:14" x14ac:dyDescent="0.25">
      <c r="A155">
        <v>154</v>
      </c>
      <c r="B155" t="s">
        <v>408</v>
      </c>
      <c r="C155" t="s">
        <v>383</v>
      </c>
      <c r="D155" t="s">
        <v>208</v>
      </c>
      <c r="E155" s="204" t="s">
        <v>728</v>
      </c>
      <c r="F155" s="204">
        <v>14182</v>
      </c>
      <c r="G155" t="str">
        <f>LOOKUP(B155,ΠΕΡΙΦΕΡΕΙΑ!$A$2:$A$14,ΠΕΡΙΦΕΡΕΙΑ!$B$2:$B$14)</f>
        <v>Μερική</v>
      </c>
      <c r="H155">
        <f t="shared" si="13"/>
        <v>154</v>
      </c>
      <c r="I155">
        <f t="shared" si="14"/>
        <v>163</v>
      </c>
      <c r="J155" t="str">
        <f t="shared" si="15"/>
        <v>ΘΕΣΣΑΛΙΑΣ</v>
      </c>
      <c r="K155" t="str">
        <f t="shared" si="16"/>
        <v>ΡΗΓΑ ΦΕΡΑΙΟΥ</v>
      </c>
      <c r="L155" s="170" t="s">
        <v>420</v>
      </c>
      <c r="M155" t="str">
        <f t="shared" si="12"/>
        <v/>
      </c>
      <c r="N155"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v>
      </c>
    </row>
    <row r="156" spans="1:14" x14ac:dyDescent="0.25">
      <c r="A156">
        <v>155</v>
      </c>
      <c r="B156" t="s">
        <v>408</v>
      </c>
      <c r="C156" t="s">
        <v>188</v>
      </c>
      <c r="D156" t="s">
        <v>188</v>
      </c>
      <c r="E156" s="204" t="s">
        <v>729</v>
      </c>
      <c r="F156" s="204">
        <v>14188</v>
      </c>
      <c r="G156" t="str">
        <f>LOOKUP(B156,ΠΕΡΙΦΕΡΕΙΑ!$A$2:$A$14,ΠΕΡΙΦΕΡΕΙΑ!$B$2:$B$14)</f>
        <v>Μερική</v>
      </c>
      <c r="H156">
        <f t="shared" si="13"/>
        <v>155</v>
      </c>
      <c r="I156">
        <f t="shared" si="14"/>
        <v>164</v>
      </c>
      <c r="J156" t="str">
        <f t="shared" si="15"/>
        <v>ΘΕΣΣΑΛΙΑΣ</v>
      </c>
      <c r="K156" t="str">
        <f t="shared" si="16"/>
        <v>ΣΚΙΑΘΟΥ</v>
      </c>
      <c r="L156" s="170" t="s">
        <v>420</v>
      </c>
      <c r="M156" t="str">
        <f t="shared" si="12"/>
        <v/>
      </c>
      <c r="N156"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v>
      </c>
    </row>
    <row r="157" spans="1:14" x14ac:dyDescent="0.25">
      <c r="A157">
        <v>156</v>
      </c>
      <c r="B157" t="s">
        <v>408</v>
      </c>
      <c r="C157" t="s">
        <v>380</v>
      </c>
      <c r="D157" t="s">
        <v>195</v>
      </c>
      <c r="E157" s="204" t="s">
        <v>730</v>
      </c>
      <c r="F157" s="204">
        <v>14210</v>
      </c>
      <c r="G157" t="str">
        <f>LOOKUP(B157,ΠΕΡΙΦΕΡΕΙΑ!$A$2:$A$14,ΠΕΡΙΦΕΡΕΙΑ!$B$2:$B$14)</f>
        <v>Μερική</v>
      </c>
      <c r="H157">
        <f t="shared" si="13"/>
        <v>156</v>
      </c>
      <c r="I157">
        <f t="shared" si="14"/>
        <v>165</v>
      </c>
      <c r="J157" t="str">
        <f t="shared" si="15"/>
        <v>ΘΕΣΣΑΛΙΑΣ</v>
      </c>
      <c r="K157" t="str">
        <f t="shared" si="16"/>
        <v>ΣΚΟΠΕΛΟΥ</v>
      </c>
      <c r="L157" s="170" t="s">
        <v>420</v>
      </c>
      <c r="M157" t="str">
        <f t="shared" si="12"/>
        <v/>
      </c>
      <c r="N157"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v>
      </c>
    </row>
    <row r="158" spans="1:14" x14ac:dyDescent="0.25">
      <c r="A158">
        <v>157</v>
      </c>
      <c r="B158" t="s">
        <v>408</v>
      </c>
      <c r="C158" t="s">
        <v>380</v>
      </c>
      <c r="D158" t="s">
        <v>196</v>
      </c>
      <c r="E158" s="204" t="s">
        <v>731</v>
      </c>
      <c r="F158" s="204">
        <v>14246</v>
      </c>
      <c r="G158" t="str">
        <f>LOOKUP(B158,ΠΕΡΙΦΕΡΕΙΑ!$A$2:$A$14,ΠΕΡΙΦΕΡΕΙΑ!$B$2:$B$14)</f>
        <v>Μερική</v>
      </c>
      <c r="H158">
        <f t="shared" si="13"/>
        <v>157</v>
      </c>
      <c r="I158">
        <f t="shared" si="14"/>
        <v>166</v>
      </c>
      <c r="J158" t="str">
        <f t="shared" si="15"/>
        <v>ΘΕΣΣΑΛΙΑΣ</v>
      </c>
      <c r="K158" t="str">
        <f t="shared" si="16"/>
        <v>ΣΟΦΑΔΩΝ</v>
      </c>
      <c r="L158" s="170" t="s">
        <v>420</v>
      </c>
      <c r="M158" t="str">
        <f t="shared" si="12"/>
        <v/>
      </c>
      <c r="N158"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v>
      </c>
    </row>
    <row r="159" spans="1:14" x14ac:dyDescent="0.25">
      <c r="A159">
        <v>158</v>
      </c>
      <c r="B159" t="s">
        <v>408</v>
      </c>
      <c r="C159" t="s">
        <v>188</v>
      </c>
      <c r="D159" t="s">
        <v>189</v>
      </c>
      <c r="E159" s="204" t="s">
        <v>732</v>
      </c>
      <c r="F159" s="204">
        <v>14258</v>
      </c>
      <c r="G159" t="str">
        <f>LOOKUP(B159,ΠΕΡΙΦΕΡΕΙΑ!$A$2:$A$14,ΠΕΡΙΦΕΡΕΙΑ!$B$2:$B$14)</f>
        <v>Μερική</v>
      </c>
      <c r="H159">
        <f t="shared" si="13"/>
        <v>158</v>
      </c>
      <c r="I159">
        <f t="shared" si="14"/>
        <v>167</v>
      </c>
      <c r="J159" t="str">
        <f t="shared" si="15"/>
        <v>ΘΕΣΣΑΛΙΑΣ</v>
      </c>
      <c r="K159" t="str">
        <f t="shared" si="16"/>
        <v>ΤΕΜΠΩΝ</v>
      </c>
      <c r="L159" s="170" t="s">
        <v>420</v>
      </c>
      <c r="M159" t="str">
        <f t="shared" si="12"/>
        <v/>
      </c>
      <c r="N159"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v>
      </c>
    </row>
    <row r="160" spans="1:14" x14ac:dyDescent="0.25">
      <c r="A160">
        <v>159</v>
      </c>
      <c r="B160" t="s">
        <v>408</v>
      </c>
      <c r="C160" t="s">
        <v>188</v>
      </c>
      <c r="D160" t="s">
        <v>190</v>
      </c>
      <c r="E160" s="204" t="s">
        <v>733</v>
      </c>
      <c r="F160" s="204">
        <v>14302</v>
      </c>
      <c r="G160" t="str">
        <f>LOOKUP(B160,ΠΕΡΙΦΕΡΕΙΑ!$A$2:$A$14,ΠΕΡΙΦΕΡΕΙΑ!$B$2:$B$14)</f>
        <v>Μερική</v>
      </c>
      <c r="H160">
        <f t="shared" si="13"/>
        <v>159</v>
      </c>
      <c r="I160">
        <f t="shared" si="14"/>
        <v>168</v>
      </c>
      <c r="J160" t="str">
        <f t="shared" si="15"/>
        <v>ΘΕΣΣΑΛΙΑΣ</v>
      </c>
      <c r="K160" t="str">
        <f t="shared" si="16"/>
        <v>ΤΡΙΚΚΑΙΩΝ</v>
      </c>
      <c r="L160" s="170" t="s">
        <v>419</v>
      </c>
      <c r="M160" t="str">
        <f t="shared" si="12"/>
        <v xml:space="preserve">ΘΕΣΣΑΛΙΑΣ - ΤΡΙΚΚΑΙΩΝ, </v>
      </c>
      <c r="N160"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v>
      </c>
    </row>
    <row r="161" spans="1:14" x14ac:dyDescent="0.25">
      <c r="A161">
        <v>160</v>
      </c>
      <c r="B161" t="s">
        <v>408</v>
      </c>
      <c r="C161" t="s">
        <v>381</v>
      </c>
      <c r="D161" t="s">
        <v>203</v>
      </c>
      <c r="E161" s="204" t="s">
        <v>734</v>
      </c>
      <c r="F161" s="204">
        <v>14342</v>
      </c>
      <c r="G161" t="str">
        <f>LOOKUP(B161,ΠΕΡΙΦΕΡΕΙΑ!$A$2:$A$14,ΠΕΡΙΦΕΡΕΙΑ!$B$2:$B$14)</f>
        <v>Μερική</v>
      </c>
      <c r="H161">
        <f t="shared" si="13"/>
        <v>160</v>
      </c>
      <c r="I161">
        <f t="shared" si="14"/>
        <v>169</v>
      </c>
      <c r="J161" t="str">
        <f t="shared" si="15"/>
        <v>ΘΕΣΣΑΛΙΑΣ</v>
      </c>
      <c r="K161" t="str">
        <f t="shared" si="16"/>
        <v>ΤΥΡΝΑΒΟΥ</v>
      </c>
      <c r="L161" s="170" t="s">
        <v>420</v>
      </c>
      <c r="M161" t="str">
        <f t="shared" si="12"/>
        <v/>
      </c>
      <c r="N161"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v>
      </c>
    </row>
    <row r="162" spans="1:14" x14ac:dyDescent="0.25">
      <c r="A162">
        <v>161</v>
      </c>
      <c r="B162" t="s">
        <v>408</v>
      </c>
      <c r="C162" t="s">
        <v>188</v>
      </c>
      <c r="D162" t="s">
        <v>191</v>
      </c>
      <c r="E162" s="204" t="s">
        <v>735</v>
      </c>
      <c r="F162" s="204">
        <v>14388</v>
      </c>
      <c r="G162" t="str">
        <f>LOOKUP(B162,ΠΕΡΙΦΕΡΕΙΑ!$A$2:$A$14,ΠΕΡΙΦΕΡΕΙΑ!$B$2:$B$14)</f>
        <v>Μερική</v>
      </c>
      <c r="H162">
        <f t="shared" si="13"/>
        <v>161</v>
      </c>
      <c r="I162">
        <f t="shared" si="14"/>
        <v>170</v>
      </c>
      <c r="J162" t="str">
        <f t="shared" si="15"/>
        <v>ΘΕΣΣΑΛΙΑΣ</v>
      </c>
      <c r="K162" t="str">
        <f t="shared" si="16"/>
        <v>ΦΑΡΚΑΔΟΝΑΣ</v>
      </c>
      <c r="L162" s="170" t="s">
        <v>420</v>
      </c>
      <c r="M162" t="str">
        <f t="shared" si="12"/>
        <v/>
      </c>
      <c r="N162"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v>
      </c>
    </row>
    <row r="163" spans="1:14" x14ac:dyDescent="0.25">
      <c r="A163">
        <v>162</v>
      </c>
      <c r="B163" t="s">
        <v>408</v>
      </c>
      <c r="C163" t="s">
        <v>383</v>
      </c>
      <c r="D163" t="s">
        <v>209</v>
      </c>
      <c r="E163" s="204" t="s">
        <v>736</v>
      </c>
      <c r="F163" s="204">
        <v>14374</v>
      </c>
      <c r="G163" t="str">
        <f>LOOKUP(B163,ΠΕΡΙΦΕΡΕΙΑ!$A$2:$A$14,ΠΕΡΙΦΕΡΕΙΑ!$B$2:$B$14)</f>
        <v>Μερική</v>
      </c>
      <c r="H163">
        <f t="shared" si="13"/>
        <v>162</v>
      </c>
      <c r="I163">
        <f t="shared" si="14"/>
        <v>171</v>
      </c>
      <c r="J163" t="str">
        <f t="shared" si="15"/>
        <v>ΘΕΣΣΑΛΙΑΣ</v>
      </c>
      <c r="K163" t="str">
        <f t="shared" si="16"/>
        <v>ΦΑΡΣΑΛΩΝ</v>
      </c>
      <c r="L163" s="170" t="s">
        <v>420</v>
      </c>
      <c r="M163" t="str">
        <f t="shared" si="12"/>
        <v/>
      </c>
      <c r="N163"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v>
      </c>
    </row>
    <row r="164" spans="1:14" x14ac:dyDescent="0.25">
      <c r="A164">
        <v>163</v>
      </c>
      <c r="B164" t="s">
        <v>408</v>
      </c>
      <c r="C164" t="s">
        <v>381</v>
      </c>
      <c r="D164" t="s">
        <v>204</v>
      </c>
      <c r="E164" s="204" t="s">
        <v>737</v>
      </c>
      <c r="F164" s="204">
        <v>14434</v>
      </c>
      <c r="G164" t="str">
        <f>LOOKUP(B164,ΠΕΡΙΦΕΡΕΙΑ!$A$2:$A$14,ΠΕΡΙΦΕΡΕΙΑ!$B$2:$B$14)</f>
        <v>Μερική</v>
      </c>
      <c r="H164">
        <f t="shared" si="13"/>
        <v>163</v>
      </c>
      <c r="I164">
        <f t="shared" si="14"/>
        <v>172</v>
      </c>
      <c r="J164" t="str">
        <f t="shared" si="15"/>
        <v>ΙΟΝΙΩΝ ΝΗΣΩΝ</v>
      </c>
      <c r="K164" t="str">
        <f t="shared" si="16"/>
        <v>ΖΑΚΥΝΘΟΥ</v>
      </c>
      <c r="L164" s="170" t="s">
        <v>420</v>
      </c>
      <c r="M164" t="str">
        <f t="shared" si="12"/>
        <v/>
      </c>
      <c r="N164"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v>
      </c>
    </row>
    <row r="165" spans="1:14" x14ac:dyDescent="0.25">
      <c r="A165">
        <v>164</v>
      </c>
      <c r="B165" t="s">
        <v>408</v>
      </c>
      <c r="C165" t="s">
        <v>382</v>
      </c>
      <c r="D165" t="s">
        <v>206</v>
      </c>
      <c r="E165" s="204" t="s">
        <v>738</v>
      </c>
      <c r="F165" s="204">
        <v>14466</v>
      </c>
      <c r="G165" t="str">
        <f>LOOKUP(B165,ΠΕΡΙΦΕΡΕΙΑ!$A$2:$A$14,ΠΕΡΙΦΕΡΕΙΑ!$B$2:$B$14)</f>
        <v>Μερική</v>
      </c>
      <c r="H165">
        <f t="shared" si="13"/>
        <v>164</v>
      </c>
      <c r="I165">
        <f t="shared" si="14"/>
        <v>173</v>
      </c>
      <c r="J165" t="str">
        <f t="shared" si="15"/>
        <v>ΙΟΝΙΩΝ ΝΗΣΩΝ</v>
      </c>
      <c r="K165" t="str">
        <f t="shared" si="16"/>
        <v>ΙΘΑΚΗΣ</v>
      </c>
      <c r="L165" s="170" t="s">
        <v>420</v>
      </c>
      <c r="M165" t="str">
        <f t="shared" si="12"/>
        <v/>
      </c>
      <c r="N165"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v>
      </c>
    </row>
    <row r="166" spans="1:14" x14ac:dyDescent="0.25">
      <c r="A166">
        <v>165</v>
      </c>
      <c r="B166" t="s">
        <v>408</v>
      </c>
      <c r="C166" t="s">
        <v>382</v>
      </c>
      <c r="D166" t="s">
        <v>207</v>
      </c>
      <c r="E166" s="204" t="s">
        <v>739</v>
      </c>
      <c r="F166" s="204">
        <v>14440</v>
      </c>
      <c r="G166" t="str">
        <f>LOOKUP(B166,ΠΕΡΙΦΕΡΕΙΑ!$A$2:$A$14,ΠΕΡΙΦΕΡΕΙΑ!$B$2:$B$14)</f>
        <v>Μερική</v>
      </c>
      <c r="H166">
        <f t="shared" si="13"/>
        <v>165</v>
      </c>
      <c r="I166">
        <f t="shared" si="14"/>
        <v>174</v>
      </c>
      <c r="J166" t="str">
        <f t="shared" si="15"/>
        <v>ΙΟΝΙΩΝ ΝΗΣΩΝ</v>
      </c>
      <c r="K166" t="str">
        <f t="shared" si="16"/>
        <v>ΚΕΡΚΥΡΑΣ</v>
      </c>
      <c r="L166" s="170" t="s">
        <v>419</v>
      </c>
      <c r="M166" t="str">
        <f t="shared" si="12"/>
        <v xml:space="preserve">ΙΟΝΙΩΝ ΝΗΣΩΝ - ΚΕΡΚΥΡΑΣ, </v>
      </c>
      <c r="N166"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v>
      </c>
    </row>
    <row r="167" spans="1:14" x14ac:dyDescent="0.25">
      <c r="A167">
        <v>166</v>
      </c>
      <c r="B167" t="s">
        <v>408</v>
      </c>
      <c r="C167" t="s">
        <v>188</v>
      </c>
      <c r="D167" t="s">
        <v>192</v>
      </c>
      <c r="E167" s="204" t="s">
        <v>740</v>
      </c>
      <c r="F167" s="204">
        <v>14476</v>
      </c>
      <c r="G167" t="str">
        <f>LOOKUP(B167,ΠΕΡΙΦΕΡΕΙΑ!$A$2:$A$14,ΠΕΡΙΦΕΡΕΙΑ!$B$2:$B$14)</f>
        <v>Μερική</v>
      </c>
      <c r="H167">
        <f t="shared" si="13"/>
        <v>166</v>
      </c>
      <c r="I167">
        <f t="shared" si="14"/>
        <v>175</v>
      </c>
      <c r="J167" t="str">
        <f t="shared" si="15"/>
        <v>ΙΟΝΙΩΝ ΝΗΣΩΝ</v>
      </c>
      <c r="K167" t="str">
        <f t="shared" si="16"/>
        <v>ΚΕΦΑΛΟΝΙΑΣ</v>
      </c>
      <c r="L167" s="170" t="s">
        <v>420</v>
      </c>
      <c r="M167" t="str">
        <f t="shared" si="12"/>
        <v/>
      </c>
      <c r="N167"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v>
      </c>
    </row>
    <row r="168" spans="1:14" x14ac:dyDescent="0.25">
      <c r="A168">
        <v>167</v>
      </c>
      <c r="B168" t="s">
        <v>408</v>
      </c>
      <c r="C168" t="s">
        <v>380</v>
      </c>
      <c r="D168" t="s">
        <v>197</v>
      </c>
      <c r="E168" s="204" t="s">
        <v>741</v>
      </c>
      <c r="F168" s="204">
        <v>14490</v>
      </c>
      <c r="G168" t="str">
        <f>LOOKUP(B168,ΠΕΡΙΦΕΡΕΙΑ!$A$2:$A$14,ΠΕΡΙΦΕΡΕΙΑ!$B$2:$B$14)</f>
        <v>Μερική</v>
      </c>
      <c r="H168">
        <f t="shared" si="13"/>
        <v>167</v>
      </c>
      <c r="I168">
        <f t="shared" si="14"/>
        <v>176</v>
      </c>
      <c r="J168" t="str">
        <f t="shared" si="15"/>
        <v>ΙΟΝΙΩΝ ΝΗΣΩΝ</v>
      </c>
      <c r="K168" t="str">
        <f t="shared" si="16"/>
        <v>ΛΕΥΚΑΔΑΣ</v>
      </c>
      <c r="L168" s="170" t="s">
        <v>420</v>
      </c>
      <c r="M168" t="str">
        <f t="shared" si="12"/>
        <v/>
      </c>
      <c r="N168"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v>
      </c>
    </row>
    <row r="169" spans="1:14" x14ac:dyDescent="0.25">
      <c r="A169">
        <v>168</v>
      </c>
      <c r="B169" t="s">
        <v>408</v>
      </c>
      <c r="C169" t="s">
        <v>383</v>
      </c>
      <c r="D169" t="s">
        <v>210</v>
      </c>
      <c r="E169" s="204" t="s">
        <v>742</v>
      </c>
      <c r="F169" s="204">
        <v>14494</v>
      </c>
      <c r="G169" t="str">
        <f>LOOKUP(B169,ΠΕΡΙΦΕΡΕΙΑ!$A$2:$A$14,ΠΕΡΙΦΕΡΕΙΑ!$B$2:$B$14)</f>
        <v>Μερική</v>
      </c>
      <c r="H169">
        <f t="shared" si="13"/>
        <v>168</v>
      </c>
      <c r="I169">
        <f t="shared" si="14"/>
        <v>177</v>
      </c>
      <c r="J169" t="str">
        <f t="shared" si="15"/>
        <v>ΙΟΝΙΩΝ ΝΗΣΩΝ</v>
      </c>
      <c r="K169" t="str">
        <f t="shared" si="16"/>
        <v>ΜΕΓΑΝΗΣΙΟΥ</v>
      </c>
      <c r="L169" s="170" t="s">
        <v>420</v>
      </c>
      <c r="M169" t="str">
        <f t="shared" si="12"/>
        <v/>
      </c>
      <c r="N169"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v>
      </c>
    </row>
    <row r="170" spans="1:14" x14ac:dyDescent="0.25">
      <c r="A170">
        <v>169</v>
      </c>
      <c r="B170" t="s">
        <v>408</v>
      </c>
      <c r="C170" t="s">
        <v>380</v>
      </c>
      <c r="D170" t="s">
        <v>198</v>
      </c>
      <c r="E170" s="204" t="s">
        <v>743</v>
      </c>
      <c r="F170" s="204">
        <v>14506</v>
      </c>
      <c r="G170" t="str">
        <f>LOOKUP(B170,ΠΕΡΙΦΕΡΕΙΑ!$A$2:$A$14,ΠΕΡΙΦΕΡΕΙΑ!$B$2:$B$14)</f>
        <v>Μερική</v>
      </c>
      <c r="H170">
        <f t="shared" si="13"/>
        <v>169</v>
      </c>
      <c r="I170">
        <f t="shared" si="14"/>
        <v>178</v>
      </c>
      <c r="J170" t="str">
        <f t="shared" si="15"/>
        <v>ΙΟΝΙΩΝ ΝΗΣΩΝ</v>
      </c>
      <c r="K170" t="str">
        <f t="shared" si="16"/>
        <v>ΠΑΞΩΝ</v>
      </c>
      <c r="L170" s="170" t="s">
        <v>420</v>
      </c>
      <c r="M170" t="str">
        <f t="shared" si="12"/>
        <v/>
      </c>
      <c r="N170"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v>
      </c>
    </row>
    <row r="171" spans="1:14" x14ac:dyDescent="0.25">
      <c r="A171">
        <v>170</v>
      </c>
      <c r="B171" t="s">
        <v>408</v>
      </c>
      <c r="C171" t="s">
        <v>383</v>
      </c>
      <c r="D171" t="s">
        <v>211</v>
      </c>
      <c r="E171" s="204" t="s">
        <v>744</v>
      </c>
      <c r="F171" s="204">
        <v>13916</v>
      </c>
      <c r="G171" t="str">
        <f>LOOKUP(B171,ΠΕΡΙΦΕΡΕΙΑ!$A$2:$A$14,ΠΕΡΙΦΕΡΕΙΑ!$B$2:$B$14)</f>
        <v>Μερική</v>
      </c>
      <c r="H171">
        <f t="shared" si="13"/>
        <v>170</v>
      </c>
      <c r="I171">
        <f t="shared" si="14"/>
        <v>179</v>
      </c>
      <c r="J171" t="str">
        <f t="shared" si="15"/>
        <v>ΚΕΝΤΡΙΚΗΣ ΜΑΚΕΔΟΝΙΑΣ</v>
      </c>
      <c r="K171" t="str">
        <f t="shared" si="16"/>
        <v>ΑΛΕΞΑΝΔΡΕΙΑΣ</v>
      </c>
      <c r="L171" s="170" t="s">
        <v>419</v>
      </c>
      <c r="M171" t="str">
        <f t="shared" si="12"/>
        <v xml:space="preserve">ΚΕΝΤΡΙΚΗΣ ΜΑΚΕΔΟΝΙΑΣ - ΑΛΕΞΑΝΔΡΕΙΑΣ, </v>
      </c>
      <c r="N171"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v>
      </c>
    </row>
    <row r="172" spans="1:14" x14ac:dyDescent="0.25">
      <c r="A172">
        <v>171</v>
      </c>
      <c r="B172" t="s">
        <v>408</v>
      </c>
      <c r="C172" t="s">
        <v>380</v>
      </c>
      <c r="D172" t="s">
        <v>199</v>
      </c>
      <c r="E172" s="204" t="s">
        <v>745</v>
      </c>
      <c r="F172" s="204">
        <v>14512</v>
      </c>
      <c r="G172" t="str">
        <f>LOOKUP(B172,ΠΕΡΙΦΕΡΕΙΑ!$A$2:$A$14,ΠΕΡΙΦΕΡΕΙΑ!$B$2:$B$14)</f>
        <v>Μερική</v>
      </c>
      <c r="H172">
        <f t="shared" si="13"/>
        <v>171</v>
      </c>
      <c r="I172">
        <f t="shared" si="14"/>
        <v>180</v>
      </c>
      <c r="J172" t="str">
        <f t="shared" si="15"/>
        <v>ΚΕΝΤΡΙΚΗΣ ΜΑΚΕΔΟΝΙΑΣ</v>
      </c>
      <c r="K172" t="str">
        <f t="shared" si="16"/>
        <v>ΑΛΜΩΠΙΑΣ</v>
      </c>
      <c r="L172" s="170" t="s">
        <v>419</v>
      </c>
      <c r="M172" t="str">
        <f t="shared" si="12"/>
        <v xml:space="preserve">ΚΕΝΤΡΙΚΗΣ ΜΑΚΕΔΟΝΙΑΣ - ΑΛΜΩΠΙΑΣ, </v>
      </c>
      <c r="N172"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v>
      </c>
    </row>
    <row r="173" spans="1:14" x14ac:dyDescent="0.25">
      <c r="A173">
        <v>172</v>
      </c>
      <c r="B173" t="s">
        <v>409</v>
      </c>
      <c r="C173" t="s">
        <v>212</v>
      </c>
      <c r="D173" t="s">
        <v>212</v>
      </c>
      <c r="E173" s="204" t="s">
        <v>746</v>
      </c>
      <c r="F173" s="204">
        <v>14108</v>
      </c>
      <c r="G173" t="str">
        <f>LOOKUP(B173,ΠΕΡΙΦΕΡΕΙΑ!$A$2:$A$14,ΠΕΡΙΦΕΡΕΙΑ!$B$2:$B$14)</f>
        <v>Μερική</v>
      </c>
      <c r="H173">
        <f t="shared" si="13"/>
        <v>172</v>
      </c>
      <c r="I173">
        <f t="shared" si="14"/>
        <v>181</v>
      </c>
      <c r="J173" t="str">
        <f t="shared" si="15"/>
        <v>ΚΕΝΤΡΙΚΗΣ ΜΑΚΕΔΟΝΙΑΣ</v>
      </c>
      <c r="K173" t="str">
        <f t="shared" si="16"/>
        <v>ΑΜΠΕΛΟΚΗΠΩΝ – ΜΕΝΕΜΕΝΗΣ</v>
      </c>
      <c r="L173" s="170" t="s">
        <v>419</v>
      </c>
      <c r="M173" t="str">
        <f t="shared" si="12"/>
        <v xml:space="preserve">ΚΕΝΤΡΙΚΗΣ ΜΑΚΕΔΟΝΙΑΣ - ΑΜΠΕΛΟΚΗΠΩΝ – ΜΕΝΕΜΕΝΗΣ, </v>
      </c>
      <c r="N173"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v>
      </c>
    </row>
    <row r="174" spans="1:14" x14ac:dyDescent="0.25">
      <c r="A174">
        <v>173</v>
      </c>
      <c r="B174" t="s">
        <v>409</v>
      </c>
      <c r="C174" t="s">
        <v>213</v>
      </c>
      <c r="D174" t="s">
        <v>213</v>
      </c>
      <c r="E174" s="204" t="s">
        <v>747</v>
      </c>
      <c r="F174" s="204">
        <v>14146</v>
      </c>
      <c r="G174" t="str">
        <f>LOOKUP(B174,ΠΕΡΙΦΕΡΕΙΑ!$A$2:$A$14,ΠΕΡΙΦΕΡΕΙΑ!$B$2:$B$14)</f>
        <v>Μερική</v>
      </c>
      <c r="H174">
        <f t="shared" si="13"/>
        <v>173</v>
      </c>
      <c r="I174">
        <f t="shared" si="14"/>
        <v>182</v>
      </c>
      <c r="J174" t="str">
        <f t="shared" si="15"/>
        <v>ΚΕΝΤΡΙΚΗΣ ΜΑΚΕΔΟΝΙΑΣ</v>
      </c>
      <c r="K174" t="str">
        <f t="shared" si="16"/>
        <v>ΑΜΦΙΠΟΛΗΣ</v>
      </c>
      <c r="L174" s="170" t="s">
        <v>420</v>
      </c>
      <c r="M174" t="str">
        <f t="shared" si="12"/>
        <v/>
      </c>
      <c r="N174"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v>
      </c>
    </row>
    <row r="175" spans="1:14" x14ac:dyDescent="0.25">
      <c r="A175">
        <v>174</v>
      </c>
      <c r="B175" t="s">
        <v>409</v>
      </c>
      <c r="C175" t="s">
        <v>214</v>
      </c>
      <c r="D175" t="s">
        <v>214</v>
      </c>
      <c r="E175" s="204" t="s">
        <v>748</v>
      </c>
      <c r="F175" s="204">
        <v>14206</v>
      </c>
      <c r="G175" t="str">
        <f>LOOKUP(B175,ΠΕΡΙΦΕΡΕΙΑ!$A$2:$A$14,ΠΕΡΙΦΕΡΕΙΑ!$B$2:$B$14)</f>
        <v>Μερική</v>
      </c>
      <c r="H175">
        <f t="shared" si="13"/>
        <v>174</v>
      </c>
      <c r="I175">
        <f t="shared" si="14"/>
        <v>183</v>
      </c>
      <c r="J175" t="str">
        <f t="shared" si="15"/>
        <v>ΚΕΝΤΡΙΚΗΣ ΜΑΚΕΔΟΝΙΑΣ</v>
      </c>
      <c r="K175" t="str">
        <f t="shared" si="16"/>
        <v>ΑΡΙΣΤΟΤΕΛΗ</v>
      </c>
      <c r="L175" s="170" t="s">
        <v>420</v>
      </c>
      <c r="M175" t="str">
        <f t="shared" si="12"/>
        <v/>
      </c>
      <c r="N175"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v>
      </c>
    </row>
    <row r="176" spans="1:14" x14ac:dyDescent="0.25">
      <c r="A176">
        <v>175</v>
      </c>
      <c r="B176" t="s">
        <v>409</v>
      </c>
      <c r="C176" t="s">
        <v>384</v>
      </c>
      <c r="D176" t="s">
        <v>216</v>
      </c>
      <c r="E176" s="204" t="s">
        <v>749</v>
      </c>
      <c r="F176" s="204">
        <v>14208</v>
      </c>
      <c r="G176" t="str">
        <f>LOOKUP(B176,ΠΕΡΙΦΕΡΕΙΑ!$A$2:$A$14,ΠΕΡΙΦΕΡΕΙΑ!$B$2:$B$14)</f>
        <v>Μερική</v>
      </c>
      <c r="H176">
        <f t="shared" si="13"/>
        <v>175</v>
      </c>
      <c r="I176">
        <f t="shared" si="14"/>
        <v>184</v>
      </c>
      <c r="J176" t="str">
        <f t="shared" si="15"/>
        <v>ΚΕΝΤΡΙΚΗΣ ΜΑΚΕΔΟΝΙΑΣ</v>
      </c>
      <c r="K176" t="str">
        <f t="shared" si="16"/>
        <v>ΒΕΡΟΙΑΣ</v>
      </c>
      <c r="L176" s="170" t="s">
        <v>419</v>
      </c>
      <c r="M176" t="str">
        <f t="shared" si="12"/>
        <v xml:space="preserve">ΚΕΝΤΡΙΚΗΣ ΜΑΚΕΔΟΝΙΑΣ - ΒΕΡΟΙΑΣ, </v>
      </c>
      <c r="N176"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v>
      </c>
    </row>
    <row r="177" spans="1:14" x14ac:dyDescent="0.25">
      <c r="A177">
        <v>176</v>
      </c>
      <c r="B177" t="s">
        <v>409</v>
      </c>
      <c r="C177" t="s">
        <v>217</v>
      </c>
      <c r="D177" t="s">
        <v>217</v>
      </c>
      <c r="E177" s="204" t="s">
        <v>750</v>
      </c>
      <c r="F177" s="204">
        <v>14238</v>
      </c>
      <c r="G177" t="str">
        <f>LOOKUP(B177,ΠΕΡΙΦΕΡΕΙΑ!$A$2:$A$14,ΠΕΡΙΦΕΡΕΙΑ!$B$2:$B$14)</f>
        <v>Μερική</v>
      </c>
      <c r="H177">
        <f t="shared" si="13"/>
        <v>176</v>
      </c>
      <c r="I177">
        <f t="shared" si="14"/>
        <v>185</v>
      </c>
      <c r="J177" t="str">
        <f t="shared" si="15"/>
        <v>ΚΕΝΤΡΙΚΗΣ ΜΑΚΕΔΟΝΙΑΣ</v>
      </c>
      <c r="K177" t="str">
        <f t="shared" si="16"/>
        <v>ΒΙΣΑΛΤΙΑΣ</v>
      </c>
      <c r="L177" s="170" t="s">
        <v>420</v>
      </c>
      <c r="M177" t="str">
        <f t="shared" si="12"/>
        <v/>
      </c>
      <c r="N177"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v>
      </c>
    </row>
    <row r="178" spans="1:14" x14ac:dyDescent="0.25">
      <c r="A178">
        <v>177</v>
      </c>
      <c r="B178" t="s">
        <v>409</v>
      </c>
      <c r="C178" t="s">
        <v>217</v>
      </c>
      <c r="D178" t="s">
        <v>218</v>
      </c>
      <c r="E178" s="204" t="s">
        <v>751</v>
      </c>
      <c r="F178" s="204">
        <v>14284</v>
      </c>
      <c r="G178" t="str">
        <f>LOOKUP(B178,ΠΕΡΙΦΕΡΕΙΑ!$A$2:$A$14,ΠΕΡΙΦΕΡΕΙΑ!$B$2:$B$14)</f>
        <v>Μερική</v>
      </c>
      <c r="H178">
        <f t="shared" si="13"/>
        <v>177</v>
      </c>
      <c r="I178">
        <f t="shared" si="14"/>
        <v>186</v>
      </c>
      <c r="J178" t="str">
        <f t="shared" si="15"/>
        <v>ΚΕΝΤΡΙΚΗΣ ΜΑΚΕΔΟΝΙΑΣ</v>
      </c>
      <c r="K178" t="str">
        <f t="shared" si="16"/>
        <v>ΒΟΛΒΗΣ</v>
      </c>
      <c r="L178" s="170" t="s">
        <v>420</v>
      </c>
      <c r="M178" t="str">
        <f t="shared" si="12"/>
        <v/>
      </c>
      <c r="N178"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v>
      </c>
    </row>
    <row r="179" spans="1:14" x14ac:dyDescent="0.25">
      <c r="A179">
        <v>178</v>
      </c>
      <c r="B179" t="s">
        <v>409</v>
      </c>
      <c r="C179" t="s">
        <v>214</v>
      </c>
      <c r="D179" t="s">
        <v>215</v>
      </c>
      <c r="E179" s="204" t="s">
        <v>752</v>
      </c>
      <c r="F179" s="204">
        <v>14392</v>
      </c>
      <c r="G179" t="str">
        <f>LOOKUP(B179,ΠΕΡΙΦΕΡΕΙΑ!$A$2:$A$14,ΠΕΡΙΦΕΡΕΙΑ!$B$2:$B$14)</f>
        <v>Μερική</v>
      </c>
      <c r="H179">
        <f t="shared" si="13"/>
        <v>178</v>
      </c>
      <c r="I179">
        <f t="shared" si="14"/>
        <v>187</v>
      </c>
      <c r="J179" t="str">
        <f t="shared" si="15"/>
        <v>ΚΕΝΤΡΙΚΗΣ ΜΑΚΕΔΟΝΙΑΣ</v>
      </c>
      <c r="K179" t="str">
        <f t="shared" si="16"/>
        <v>ΔΕΛΤΑ</v>
      </c>
      <c r="L179" s="170" t="s">
        <v>419</v>
      </c>
      <c r="M179" t="str">
        <f t="shared" si="12"/>
        <v xml:space="preserve">ΚΕΝΤΡΙΚΗΣ ΜΑΚΕΔΟΝΙΑΣ - ΔΕΛΤΑ, </v>
      </c>
      <c r="N179"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v>
      </c>
    </row>
    <row r="180" spans="1:14" x14ac:dyDescent="0.25">
      <c r="A180">
        <v>179</v>
      </c>
      <c r="B180" t="s">
        <v>410</v>
      </c>
      <c r="C180" t="s">
        <v>385</v>
      </c>
      <c r="D180" t="s">
        <v>219</v>
      </c>
      <c r="E180" s="204" t="s">
        <v>753</v>
      </c>
      <c r="F180" s="204">
        <v>13918</v>
      </c>
      <c r="G180" t="str">
        <f>LOOKUP(B180,ΠΕΡΙΦΕΡΕΙΑ!$A$2:$A$14,ΠΕΡΙΦΕΡΕΙΑ!$B$2:$B$14)</f>
        <v>Μερική</v>
      </c>
      <c r="H180">
        <f t="shared" si="13"/>
        <v>179</v>
      </c>
      <c r="I180">
        <f t="shared" si="14"/>
        <v>188</v>
      </c>
      <c r="J180" t="str">
        <f t="shared" si="15"/>
        <v>ΚΕΝΤΡΙΚΗΣ ΜΑΚΕΔΟΝΙΑΣ</v>
      </c>
      <c r="K180" t="str">
        <f t="shared" si="16"/>
        <v>ΔΙΟΥ – ΟΛΥΜΠΟΥ</v>
      </c>
      <c r="L180" s="170" t="s">
        <v>420</v>
      </c>
      <c r="M180" t="str">
        <f t="shared" si="12"/>
        <v/>
      </c>
      <c r="N180"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v>
      </c>
    </row>
    <row r="181" spans="1:14" x14ac:dyDescent="0.25">
      <c r="A181">
        <v>180</v>
      </c>
      <c r="B181" t="s">
        <v>410</v>
      </c>
      <c r="C181" t="s">
        <v>240</v>
      </c>
      <c r="D181" t="s">
        <v>238</v>
      </c>
      <c r="E181" s="204" t="s">
        <v>754</v>
      </c>
      <c r="F181" s="204">
        <v>13952</v>
      </c>
      <c r="G181" t="str">
        <f>LOOKUP(B181,ΠΕΡΙΦΕΡΕΙΑ!$A$2:$A$14,ΠΕΡΙΦΕΡΕΙΑ!$B$2:$B$14)</f>
        <v>Μερική</v>
      </c>
      <c r="H181">
        <f t="shared" si="13"/>
        <v>180</v>
      </c>
      <c r="I181">
        <f t="shared" si="14"/>
        <v>189</v>
      </c>
      <c r="J181" t="str">
        <f t="shared" si="15"/>
        <v>ΚΕΝΤΡΙΚΗΣ ΜΑΚΕΔΟΝΙΑΣ</v>
      </c>
      <c r="K181" t="str">
        <f t="shared" si="16"/>
        <v>ΕΔΕΣΣΑΣ</v>
      </c>
      <c r="L181" s="170" t="s">
        <v>419</v>
      </c>
      <c r="M181" t="str">
        <f t="shared" si="12"/>
        <v xml:space="preserve">ΚΕΝΤΡΙΚΗΣ ΜΑΚΕΔΟΝΙΑΣ - ΕΔΕΣΣΑΣ, </v>
      </c>
      <c r="N181"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v>
      </c>
    </row>
    <row r="182" spans="1:14" x14ac:dyDescent="0.25">
      <c r="A182">
        <v>181</v>
      </c>
      <c r="B182" t="s">
        <v>410</v>
      </c>
      <c r="C182" t="s">
        <v>227</v>
      </c>
      <c r="D182" t="s">
        <v>222</v>
      </c>
      <c r="E182" s="204" t="s">
        <v>755</v>
      </c>
      <c r="F182" s="204">
        <v>13968</v>
      </c>
      <c r="G182" t="str">
        <f>LOOKUP(B182,ΠΕΡΙΦΕΡΕΙΑ!$A$2:$A$14,ΠΕΡΙΦΕΡΕΙΑ!$B$2:$B$14)</f>
        <v>Μερική</v>
      </c>
      <c r="H182">
        <f t="shared" si="13"/>
        <v>181</v>
      </c>
      <c r="I182">
        <f t="shared" si="14"/>
        <v>190</v>
      </c>
      <c r="J182" t="str">
        <f t="shared" si="15"/>
        <v>ΚΕΝΤΡΙΚΗΣ ΜΑΚΕΔΟΝΙΑΣ</v>
      </c>
      <c r="K182" t="str">
        <f t="shared" si="16"/>
        <v>ΕΜΜΑΝΟΥΗΛ ΠΑΠΠΑ</v>
      </c>
      <c r="L182" s="170" t="s">
        <v>420</v>
      </c>
      <c r="M182" t="str">
        <f t="shared" si="12"/>
        <v/>
      </c>
      <c r="N182"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v>
      </c>
    </row>
    <row r="183" spans="1:14" x14ac:dyDescent="0.25">
      <c r="A183">
        <v>182</v>
      </c>
      <c r="B183" t="s">
        <v>410</v>
      </c>
      <c r="C183" t="s">
        <v>250</v>
      </c>
      <c r="D183" t="s">
        <v>245</v>
      </c>
      <c r="E183" s="204" t="s">
        <v>756</v>
      </c>
      <c r="F183" s="204">
        <v>13976</v>
      </c>
      <c r="G183" t="str">
        <f>LOOKUP(B183,ΠΕΡΙΦΕΡΕΙΑ!$A$2:$A$14,ΠΕΡΙΦΕΡΕΙΑ!$B$2:$B$14)</f>
        <v>Μερική</v>
      </c>
      <c r="H183">
        <f t="shared" si="13"/>
        <v>182</v>
      </c>
      <c r="I183">
        <f t="shared" si="14"/>
        <v>191</v>
      </c>
      <c r="J183" t="str">
        <f t="shared" si="15"/>
        <v>ΚΕΝΤΡΙΚΗΣ ΜΑΚΕΔΟΝΙΑΣ</v>
      </c>
      <c r="K183" t="str">
        <f t="shared" si="16"/>
        <v>ΗΡΑΚΛΕΙΑΣ</v>
      </c>
      <c r="L183" s="170" t="s">
        <v>420</v>
      </c>
      <c r="M183" t="str">
        <f t="shared" si="12"/>
        <v/>
      </c>
      <c r="N183"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v>
      </c>
    </row>
    <row r="184" spans="1:14" x14ac:dyDescent="0.25">
      <c r="A184">
        <v>183</v>
      </c>
      <c r="B184" t="s">
        <v>410</v>
      </c>
      <c r="C184" t="s">
        <v>387</v>
      </c>
      <c r="D184" t="s">
        <v>252</v>
      </c>
      <c r="E184" s="204" t="s">
        <v>757</v>
      </c>
      <c r="F184" s="204">
        <v>13996</v>
      </c>
      <c r="G184" t="str">
        <f>LOOKUP(B184,ΠΕΡΙΦΕΡΕΙΑ!$A$2:$A$14,ΠΕΡΙΦΕΡΕΙΑ!$B$2:$B$14)</f>
        <v>Μερική</v>
      </c>
      <c r="H184">
        <f t="shared" si="13"/>
        <v>183</v>
      </c>
      <c r="I184">
        <f t="shared" si="14"/>
        <v>192</v>
      </c>
      <c r="J184" t="str">
        <f t="shared" si="15"/>
        <v>ΚΕΝΤΡΙΚΗΣ ΜΑΚΕΔΟΝΙΑΣ</v>
      </c>
      <c r="K184" t="str">
        <f t="shared" si="16"/>
        <v>ΘΕΡΜΑΪΚΟΥ</v>
      </c>
      <c r="L184" s="170" t="s">
        <v>419</v>
      </c>
      <c r="M184" t="str">
        <f t="shared" si="12"/>
        <v xml:space="preserve">ΚΕΝΤΡΙΚΗΣ ΜΑΚΕΔΟΝΙΑΣ - ΘΕΡΜΑΪΚΟΥ, </v>
      </c>
      <c r="N184"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v>
      </c>
    </row>
    <row r="185" spans="1:14" x14ac:dyDescent="0.25">
      <c r="A185">
        <v>184</v>
      </c>
      <c r="B185" t="s">
        <v>410</v>
      </c>
      <c r="C185" t="s">
        <v>385</v>
      </c>
      <c r="D185" t="s">
        <v>220</v>
      </c>
      <c r="E185" s="204" t="s">
        <v>758</v>
      </c>
      <c r="F185" s="204">
        <v>14014</v>
      </c>
      <c r="G185" t="str">
        <f>LOOKUP(B185,ΠΕΡΙΦΕΡΕΙΑ!$A$2:$A$14,ΠΕΡΙΦΕΡΕΙΑ!$B$2:$B$14)</f>
        <v>Μερική</v>
      </c>
      <c r="H185">
        <f t="shared" si="13"/>
        <v>184</v>
      </c>
      <c r="I185">
        <f t="shared" si="14"/>
        <v>193</v>
      </c>
      <c r="J185" t="str">
        <f t="shared" si="15"/>
        <v>ΚΕΝΤΡΙΚΗΣ ΜΑΚΕΔΟΝΙΑΣ</v>
      </c>
      <c r="K185" t="str">
        <f t="shared" si="16"/>
        <v>ΘΕΡΜΗΣ</v>
      </c>
      <c r="L185" s="170" t="s">
        <v>419</v>
      </c>
      <c r="M185" t="str">
        <f t="shared" si="12"/>
        <v xml:space="preserve">ΚΕΝΤΡΙΚΗΣ ΜΑΚΕΔΟΝΙΑΣ - ΘΕΡΜΗΣ, </v>
      </c>
      <c r="N185"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v>
      </c>
    </row>
    <row r="186" spans="1:14" x14ac:dyDescent="0.25">
      <c r="A186">
        <v>185</v>
      </c>
      <c r="B186" t="s">
        <v>410</v>
      </c>
      <c r="C186" t="s">
        <v>250</v>
      </c>
      <c r="D186" t="s">
        <v>246</v>
      </c>
      <c r="E186" s="204" t="s">
        <v>759</v>
      </c>
      <c r="F186" s="204">
        <v>14018</v>
      </c>
      <c r="G186" t="str">
        <f>LOOKUP(B186,ΠΕΡΙΦΕΡΕΙΑ!$A$2:$A$14,ΠΕΡΙΦΕΡΕΙΑ!$B$2:$B$14)</f>
        <v>Μερική</v>
      </c>
      <c r="H186">
        <f t="shared" si="13"/>
        <v>185</v>
      </c>
      <c r="I186">
        <f t="shared" si="14"/>
        <v>194</v>
      </c>
      <c r="J186" t="str">
        <f t="shared" si="15"/>
        <v>ΚΕΝΤΡΙΚΗΣ ΜΑΚΕΔΟΝΙΑΣ</v>
      </c>
      <c r="K186" t="str">
        <f t="shared" si="16"/>
        <v>ΘΕΣΣΑΛΟΝΙΚΗΣ</v>
      </c>
      <c r="L186" s="170" t="s">
        <v>419</v>
      </c>
      <c r="M186" t="str">
        <f t="shared" si="12"/>
        <v xml:space="preserve">ΚΕΝΤΡΙΚΗΣ ΜΑΚΕΔΟΝΙΑΣ - ΘΕΣΣΑΛΟΝΙΚΗΣ, </v>
      </c>
      <c r="N186"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v>
      </c>
    </row>
    <row r="187" spans="1:14" x14ac:dyDescent="0.25">
      <c r="A187">
        <v>186</v>
      </c>
      <c r="B187" t="s">
        <v>410</v>
      </c>
      <c r="C187" t="s">
        <v>227</v>
      </c>
      <c r="D187" t="s">
        <v>223</v>
      </c>
      <c r="E187" s="204" t="s">
        <v>760</v>
      </c>
      <c r="F187" s="204">
        <v>14030</v>
      </c>
      <c r="G187" t="str">
        <f>LOOKUP(B187,ΠΕΡΙΦΕΡΕΙΑ!$A$2:$A$14,ΠΕΡΙΦΕΡΕΙΑ!$B$2:$B$14)</f>
        <v>Μερική</v>
      </c>
      <c r="H187">
        <f t="shared" si="13"/>
        <v>186</v>
      </c>
      <c r="I187">
        <f t="shared" si="14"/>
        <v>195</v>
      </c>
      <c r="J187" t="str">
        <f t="shared" si="15"/>
        <v>ΚΕΝΤΡΙΚΗΣ ΜΑΚΕΔΟΝΙΑΣ</v>
      </c>
      <c r="K187" t="str">
        <f t="shared" si="16"/>
        <v>ΚΑΛΑΜΑΡΙΑΣ</v>
      </c>
      <c r="L187" s="170" t="s">
        <v>419</v>
      </c>
      <c r="M187" t="str">
        <f t="shared" si="12"/>
        <v xml:space="preserve">ΚΕΝΤΡΙΚΗΣ ΜΑΚΕΔΟΝΙΑΣ - ΚΑΛΑΜΑΡΙΑΣ, </v>
      </c>
      <c r="N187"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v>
      </c>
    </row>
    <row r="188" spans="1:14" x14ac:dyDescent="0.25">
      <c r="A188">
        <v>187</v>
      </c>
      <c r="B188" t="s">
        <v>410</v>
      </c>
      <c r="C188" t="s">
        <v>227</v>
      </c>
      <c r="D188" t="s">
        <v>224</v>
      </c>
      <c r="E188" s="204" t="s">
        <v>761</v>
      </c>
      <c r="F188" s="204">
        <v>14050</v>
      </c>
      <c r="G188" t="str">
        <f>LOOKUP(B188,ΠΕΡΙΦΕΡΕΙΑ!$A$2:$A$14,ΠΕΡΙΦΕΡΕΙΑ!$B$2:$B$14)</f>
        <v>Μερική</v>
      </c>
      <c r="H188">
        <f t="shared" si="13"/>
        <v>187</v>
      </c>
      <c r="I188">
        <f t="shared" si="14"/>
        <v>196</v>
      </c>
      <c r="J188" t="str">
        <f t="shared" si="15"/>
        <v>ΚΕΝΤΡΙΚΗΣ ΜΑΚΕΔΟΝΙΑΣ</v>
      </c>
      <c r="K188" t="str">
        <f t="shared" si="16"/>
        <v>ΚΑΣΣΑΝΔΡΑΣ</v>
      </c>
      <c r="L188" s="170" t="s">
        <v>420</v>
      </c>
      <c r="M188" t="str">
        <f t="shared" si="12"/>
        <v/>
      </c>
      <c r="N188"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v>
      </c>
    </row>
    <row r="189" spans="1:14" x14ac:dyDescent="0.25">
      <c r="A189">
        <v>188</v>
      </c>
      <c r="B189" t="s">
        <v>410</v>
      </c>
      <c r="C189" t="s">
        <v>386</v>
      </c>
      <c r="D189" t="s">
        <v>242</v>
      </c>
      <c r="E189" s="204" t="s">
        <v>762</v>
      </c>
      <c r="F189" s="204">
        <v>14062</v>
      </c>
      <c r="G189" t="str">
        <f>LOOKUP(B189,ΠΕΡΙΦΕΡΕΙΑ!$A$2:$A$14,ΠΕΡΙΦΕΡΕΙΑ!$B$2:$B$14)</f>
        <v>Μερική</v>
      </c>
      <c r="H189">
        <f t="shared" si="13"/>
        <v>188</v>
      </c>
      <c r="I189">
        <f t="shared" si="14"/>
        <v>197</v>
      </c>
      <c r="J189" t="str">
        <f t="shared" si="15"/>
        <v>ΚΕΝΤΡΙΚΗΣ ΜΑΚΕΔΟΝΙΑΣ</v>
      </c>
      <c r="K189" t="str">
        <f t="shared" si="16"/>
        <v>ΚΑΤΕΡΙΝΗΣ</v>
      </c>
      <c r="L189" s="170" t="s">
        <v>419</v>
      </c>
      <c r="M189" t="str">
        <f t="shared" si="12"/>
        <v xml:space="preserve">ΚΕΝΤΡΙΚΗΣ ΜΑΚΕΔΟΝΙΑΣ - ΚΑΤΕΡΙΝΗΣ, </v>
      </c>
      <c r="N189"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v>
      </c>
    </row>
    <row r="190" spans="1:14" x14ac:dyDescent="0.25">
      <c r="A190">
        <v>189</v>
      </c>
      <c r="B190" t="s">
        <v>410</v>
      </c>
      <c r="C190" t="s">
        <v>240</v>
      </c>
      <c r="D190" t="s">
        <v>239</v>
      </c>
      <c r="E190" s="204" t="s">
        <v>763</v>
      </c>
      <c r="F190" s="204">
        <v>14080</v>
      </c>
      <c r="G190" t="str">
        <f>LOOKUP(B190,ΠΕΡΙΦΕΡΕΙΑ!$A$2:$A$14,ΠΕΡΙΦΕΡΕΙΑ!$B$2:$B$14)</f>
        <v>Μερική</v>
      </c>
      <c r="H190">
        <f t="shared" si="13"/>
        <v>189</v>
      </c>
      <c r="I190">
        <f t="shared" si="14"/>
        <v>198</v>
      </c>
      <c r="J190" t="str">
        <f t="shared" si="15"/>
        <v>ΚΕΝΤΡΙΚΗΣ ΜΑΚΕΔΟΝΙΑΣ</v>
      </c>
      <c r="K190" t="str">
        <f t="shared" si="16"/>
        <v>ΚΙΛΚΙΣ</v>
      </c>
      <c r="L190" s="170" t="s">
        <v>419</v>
      </c>
      <c r="M190" t="str">
        <f t="shared" si="12"/>
        <v xml:space="preserve">ΚΕΝΤΡΙΚΗΣ ΜΑΚΕΔΟΝΙΑΣ - ΚΙΛΚΙΣ, </v>
      </c>
      <c r="N190"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v>
      </c>
    </row>
    <row r="191" spans="1:14" x14ac:dyDescent="0.25">
      <c r="A191">
        <v>190</v>
      </c>
      <c r="B191" t="s">
        <v>410</v>
      </c>
      <c r="C191" t="s">
        <v>250</v>
      </c>
      <c r="D191" t="s">
        <v>247</v>
      </c>
      <c r="E191" s="204" t="s">
        <v>764</v>
      </c>
      <c r="F191" s="204">
        <v>14088</v>
      </c>
      <c r="G191" t="str">
        <f>LOOKUP(B191,ΠΕΡΙΦΕΡΕΙΑ!$A$2:$A$14,ΠΕΡΙΦΕΡΕΙΑ!$B$2:$B$14)</f>
        <v>Μερική</v>
      </c>
      <c r="H191">
        <f t="shared" si="13"/>
        <v>190</v>
      </c>
      <c r="I191">
        <f t="shared" si="14"/>
        <v>199</v>
      </c>
      <c r="J191" t="str">
        <f t="shared" si="15"/>
        <v>ΚΕΝΤΡΙΚΗΣ ΜΑΚΕΔΟΝΙΑΣ</v>
      </c>
      <c r="K191" t="str">
        <f t="shared" si="16"/>
        <v>ΚΟΡΔΕΛΙΟΥ – ΕΥΟΣΜΟΥ</v>
      </c>
      <c r="L191" s="170" t="s">
        <v>419</v>
      </c>
      <c r="M191" t="str">
        <f t="shared" si="12"/>
        <v xml:space="preserve">ΚΕΝΤΡΙΚΗΣ ΜΑΚΕΔΟΝΙΑΣ - ΚΟΡΔΕΛΙΟΥ – ΕΥΟΣΜΟΥ, </v>
      </c>
      <c r="N191"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v>
      </c>
    </row>
    <row r="192" spans="1:14" x14ac:dyDescent="0.25">
      <c r="A192">
        <v>191</v>
      </c>
      <c r="B192" t="s">
        <v>410</v>
      </c>
      <c r="C192" t="s">
        <v>250</v>
      </c>
      <c r="D192" t="s">
        <v>248</v>
      </c>
      <c r="E192" s="204" t="s">
        <v>765</v>
      </c>
      <c r="F192" s="204">
        <v>13914</v>
      </c>
      <c r="G192" t="str">
        <f>LOOKUP(B192,ΠΕΡΙΦΕΡΕΙΑ!$A$2:$A$14,ΠΕΡΙΦΕΡΕΙΑ!$B$2:$B$14)</f>
        <v>Μερική</v>
      </c>
      <c r="H192">
        <f t="shared" si="13"/>
        <v>191</v>
      </c>
      <c r="I192">
        <f t="shared" si="14"/>
        <v>200</v>
      </c>
      <c r="J192" t="str">
        <f t="shared" si="15"/>
        <v>ΚΕΝΤΡΙΚΗΣ ΜΑΚΕΔΟΝΙΑΣ</v>
      </c>
      <c r="K192" t="str">
        <f t="shared" si="16"/>
        <v>ΛΑΓΚΑΔΑ</v>
      </c>
      <c r="L192" s="170" t="s">
        <v>420</v>
      </c>
      <c r="M192" t="str">
        <f t="shared" si="12"/>
        <v/>
      </c>
      <c r="N192"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v>
      </c>
    </row>
    <row r="193" spans="1:14" x14ac:dyDescent="0.25">
      <c r="A193">
        <v>192</v>
      </c>
      <c r="B193" t="s">
        <v>410</v>
      </c>
      <c r="C193" t="s">
        <v>227</v>
      </c>
      <c r="D193" t="s">
        <v>225</v>
      </c>
      <c r="E193" s="204" t="s">
        <v>766</v>
      </c>
      <c r="F193" s="204">
        <v>14126</v>
      </c>
      <c r="G193" t="str">
        <f>LOOKUP(B193,ΠΕΡΙΦΕΡΕΙΑ!$A$2:$A$14,ΠΕΡΙΦΕΡΕΙΑ!$B$2:$B$14)</f>
        <v>Μερική</v>
      </c>
      <c r="H193">
        <f t="shared" si="13"/>
        <v>192</v>
      </c>
      <c r="I193">
        <f t="shared" si="14"/>
        <v>201</v>
      </c>
      <c r="J193" t="str">
        <f t="shared" si="15"/>
        <v>ΚΕΝΤΡΙΚΗΣ ΜΑΚΕΔΟΝΙΑΣ</v>
      </c>
      <c r="K193" t="str">
        <f t="shared" si="16"/>
        <v>ΝΑΟΥΣΑΣ</v>
      </c>
      <c r="L193" s="170" t="s">
        <v>419</v>
      </c>
      <c r="M193" t="str">
        <f t="shared" si="12"/>
        <v xml:space="preserve">ΚΕΝΤΡΙΚΗΣ ΜΑΚΕΔΟΝΙΑΣ - ΝΑΟΥΣΑΣ, </v>
      </c>
      <c r="N193"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v>
      </c>
    </row>
    <row r="194" spans="1:14" x14ac:dyDescent="0.25">
      <c r="A194">
        <v>193</v>
      </c>
      <c r="B194" t="s">
        <v>410</v>
      </c>
      <c r="C194" t="s">
        <v>227</v>
      </c>
      <c r="D194" t="s">
        <v>226</v>
      </c>
      <c r="E194" s="204" t="s">
        <v>767</v>
      </c>
      <c r="F194" s="204">
        <v>14128</v>
      </c>
      <c r="G194" t="str">
        <f>LOOKUP(B194,ΠΕΡΙΦΕΡΕΙΑ!$A$2:$A$14,ΠΕΡΙΦΕΡΕΙΑ!$B$2:$B$14)</f>
        <v>Μερική</v>
      </c>
      <c r="H194">
        <f t="shared" si="13"/>
        <v>193</v>
      </c>
      <c r="I194">
        <f t="shared" si="14"/>
        <v>202</v>
      </c>
      <c r="J194" t="str">
        <f t="shared" si="15"/>
        <v>ΚΕΝΤΡΙΚΗΣ ΜΑΚΕΔΟΝΙΑΣ</v>
      </c>
      <c r="K194" t="str">
        <f t="shared" si="16"/>
        <v>ΝΕΑΠΟΛΗΣ – ΣΥΚΕΩΝ</v>
      </c>
      <c r="L194" s="170" t="s">
        <v>419</v>
      </c>
      <c r="M194" t="str">
        <f t="shared" ref="M194:M257" si="18">IF(K194&lt;&gt;"",IF(L194="ΝΑΙ",J194&amp;" - "&amp;K194&amp;", ",""),"")</f>
        <v xml:space="preserve">ΚΕΝΤΡΙΚΗΣ ΜΑΚΕΔΟΝΙΑΣ - ΝΕΑΠΟΛΗΣ – ΣΥΚΕΩΝ, </v>
      </c>
      <c r="N194"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v>
      </c>
    </row>
    <row r="195" spans="1:14" x14ac:dyDescent="0.25">
      <c r="A195">
        <v>194</v>
      </c>
      <c r="B195" t="s">
        <v>410</v>
      </c>
      <c r="C195" t="s">
        <v>227</v>
      </c>
      <c r="D195" t="s">
        <v>227</v>
      </c>
      <c r="E195" s="204" t="s">
        <v>768</v>
      </c>
      <c r="F195" s="204">
        <v>14130</v>
      </c>
      <c r="G195" t="str">
        <f>LOOKUP(B195,ΠΕΡΙΦΕΡΕΙΑ!$A$2:$A$14,ΠΕΡΙΦΕΡΕΙΑ!$B$2:$B$14)</f>
        <v>Μερική</v>
      </c>
      <c r="H195">
        <f t="shared" ref="H195:H258" si="19">IF(G195="Μερική",A195,"")</f>
        <v>194</v>
      </c>
      <c r="I195">
        <f t="shared" ref="I195:I258" si="20">SMALL(H:H,A195)</f>
        <v>203</v>
      </c>
      <c r="J195" t="str">
        <f t="shared" ref="J195:J258" si="21">IF(ISNUMBER(I195),LOOKUP(I195,A:A,B:B),"")</f>
        <v>ΚΕΝΤΡΙΚΗΣ ΜΑΚΕΔΟΝΙΑΣ</v>
      </c>
      <c r="K195" t="str">
        <f t="shared" ref="K195:K258" si="22">IF(ISNUMBER(I195),LOOKUP(I195,A:A,D:D),"")</f>
        <v>ΝΕΑΣ ΖΙΧΝΗΣ</v>
      </c>
      <c r="L195" s="170" t="s">
        <v>420</v>
      </c>
      <c r="M195" t="str">
        <f t="shared" si="18"/>
        <v/>
      </c>
      <c r="N195" t="str">
        <f t="shared" si="17"/>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v>
      </c>
    </row>
    <row r="196" spans="1:14" x14ac:dyDescent="0.25">
      <c r="A196">
        <v>195</v>
      </c>
      <c r="B196" t="s">
        <v>410</v>
      </c>
      <c r="C196" t="s">
        <v>227</v>
      </c>
      <c r="D196" t="s">
        <v>228</v>
      </c>
      <c r="E196" s="204" t="s">
        <v>769</v>
      </c>
      <c r="F196" s="204">
        <v>14176</v>
      </c>
      <c r="G196" t="str">
        <f>LOOKUP(B196,ΠΕΡΙΦΕΡΕΙΑ!$A$2:$A$14,ΠΕΡΙΦΕΡΕΙΑ!$B$2:$B$14)</f>
        <v>Μερική</v>
      </c>
      <c r="H196">
        <f t="shared" si="19"/>
        <v>195</v>
      </c>
      <c r="I196">
        <f t="shared" si="20"/>
        <v>204</v>
      </c>
      <c r="J196" t="str">
        <f t="shared" si="21"/>
        <v>ΚΕΝΤΡΙΚΗΣ ΜΑΚΕΔΟΝΙΑΣ</v>
      </c>
      <c r="K196" t="str">
        <f t="shared" si="22"/>
        <v>ΝΕΑΣ ΠΡΟΠΟΝΤΙΔΑΣ</v>
      </c>
      <c r="L196" s="170" t="s">
        <v>420</v>
      </c>
      <c r="M196" t="str">
        <f t="shared" si="18"/>
        <v/>
      </c>
      <c r="N196" t="str">
        <f t="shared" ref="N196:N259" si="23">N195&amp;M196</f>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v>
      </c>
    </row>
    <row r="197" spans="1:14" x14ac:dyDescent="0.25">
      <c r="A197">
        <v>196</v>
      </c>
      <c r="B197" t="s">
        <v>410</v>
      </c>
      <c r="C197" t="s">
        <v>387</v>
      </c>
      <c r="D197" t="s">
        <v>253</v>
      </c>
      <c r="E197" s="204" t="s">
        <v>770</v>
      </c>
      <c r="F197" s="204">
        <v>14192</v>
      </c>
      <c r="G197" t="str">
        <f>LOOKUP(B197,ΠΕΡΙΦΕΡΕΙΑ!$A$2:$A$14,ΠΕΡΙΦΕΡΕΙΑ!$B$2:$B$14)</f>
        <v>Μερική</v>
      </c>
      <c r="H197">
        <f t="shared" si="19"/>
        <v>196</v>
      </c>
      <c r="I197">
        <f t="shared" si="20"/>
        <v>205</v>
      </c>
      <c r="J197" t="str">
        <f t="shared" si="21"/>
        <v>ΚΕΝΤΡΙΚΗΣ ΜΑΚΕΔΟΝΙΑΣ</v>
      </c>
      <c r="K197" t="str">
        <f t="shared" si="22"/>
        <v>ΠΑΙΟΝΙΑΣ</v>
      </c>
      <c r="L197" s="170" t="s">
        <v>420</v>
      </c>
      <c r="M197" t="str">
        <f t="shared" si="18"/>
        <v/>
      </c>
      <c r="N197"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v>
      </c>
    </row>
    <row r="198" spans="1:14" x14ac:dyDescent="0.25">
      <c r="A198">
        <v>197</v>
      </c>
      <c r="B198" t="s">
        <v>410</v>
      </c>
      <c r="C198" t="s">
        <v>386</v>
      </c>
      <c r="D198" t="s">
        <v>243</v>
      </c>
      <c r="E198" s="204" t="s">
        <v>771</v>
      </c>
      <c r="F198" s="204">
        <v>14200</v>
      </c>
      <c r="G198" t="str">
        <f>LOOKUP(B198,ΠΕΡΙΦΕΡΕΙΑ!$A$2:$A$14,ΠΕΡΙΦΕΡΕΙΑ!$B$2:$B$14)</f>
        <v>Μερική</v>
      </c>
      <c r="H198">
        <f t="shared" si="19"/>
        <v>197</v>
      </c>
      <c r="I198">
        <f t="shared" si="20"/>
        <v>206</v>
      </c>
      <c r="J198" t="str">
        <f t="shared" si="21"/>
        <v>ΚΕΝΤΡΙΚΗΣ ΜΑΚΕΔΟΝΙΑΣ</v>
      </c>
      <c r="K198" t="str">
        <f t="shared" si="22"/>
        <v>ΠΑΥΛΟΥ ΜΕΛΑ</v>
      </c>
      <c r="L198" s="170" t="s">
        <v>419</v>
      </c>
      <c r="M198" t="str">
        <f t="shared" si="18"/>
        <v xml:space="preserve">ΚΕΝΤΡΙΚΗΣ ΜΑΚΕΔΟΝΙΑΣ - ΠΑΥΛΟΥ ΜΕΛΑ, </v>
      </c>
      <c r="N198"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v>
      </c>
    </row>
    <row r="199" spans="1:14" x14ac:dyDescent="0.25">
      <c r="A199">
        <v>198</v>
      </c>
      <c r="B199" t="s">
        <v>410</v>
      </c>
      <c r="C199" t="s">
        <v>236</v>
      </c>
      <c r="D199" t="s">
        <v>236</v>
      </c>
      <c r="E199" s="204" t="s">
        <v>772</v>
      </c>
      <c r="F199" s="204">
        <v>14212</v>
      </c>
      <c r="G199" t="str">
        <f>LOOKUP(B199,ΠΕΡΙΦΕΡΕΙΑ!$A$2:$A$14,ΠΕΡΙΦΕΡΕΙΑ!$B$2:$B$14)</f>
        <v>Μερική</v>
      </c>
      <c r="H199">
        <f t="shared" si="19"/>
        <v>198</v>
      </c>
      <c r="I199">
        <f t="shared" si="20"/>
        <v>207</v>
      </c>
      <c r="J199" t="str">
        <f t="shared" si="21"/>
        <v>ΚΕΝΤΡΙΚΗΣ ΜΑΚΕΔΟΝΙΑΣ</v>
      </c>
      <c r="K199" t="str">
        <f t="shared" si="22"/>
        <v>ΠΕΛΛΑΣ</v>
      </c>
      <c r="L199" s="170" t="s">
        <v>419</v>
      </c>
      <c r="M199" t="str">
        <f t="shared" si="18"/>
        <v xml:space="preserve">ΚΕΝΤΡΙΚΗΣ ΜΑΚΕΔΟΝΙΑΣ - ΠΕΛΛΑΣ, </v>
      </c>
      <c r="N199"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v>
      </c>
    </row>
    <row r="200" spans="1:14" x14ac:dyDescent="0.25">
      <c r="A200">
        <v>199</v>
      </c>
      <c r="B200" t="s">
        <v>410</v>
      </c>
      <c r="C200" t="s">
        <v>227</v>
      </c>
      <c r="D200" t="s">
        <v>229</v>
      </c>
      <c r="E200" s="204" t="s">
        <v>773</v>
      </c>
      <c r="F200" s="204">
        <v>14224</v>
      </c>
      <c r="G200" t="str">
        <f>LOOKUP(B200,ΠΕΡΙΦΕΡΕΙΑ!$A$2:$A$14,ΠΕΡΙΦΕΡΕΙΑ!$B$2:$B$14)</f>
        <v>Μερική</v>
      </c>
      <c r="H200">
        <f t="shared" si="19"/>
        <v>199</v>
      </c>
      <c r="I200">
        <f t="shared" si="20"/>
        <v>208</v>
      </c>
      <c r="J200" t="str">
        <f t="shared" si="21"/>
        <v>ΚΕΝΤΡΙΚΗΣ ΜΑΚΕΔΟΝΙΑΣ</v>
      </c>
      <c r="K200" t="str">
        <f t="shared" si="22"/>
        <v>ΠΟΛΥΓΥΡΟΥ</v>
      </c>
      <c r="L200" s="170" t="s">
        <v>420</v>
      </c>
      <c r="M200" t="str">
        <f t="shared" si="18"/>
        <v/>
      </c>
      <c r="N200"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v>
      </c>
    </row>
    <row r="201" spans="1:14" x14ac:dyDescent="0.25">
      <c r="A201">
        <v>200</v>
      </c>
      <c r="B201" t="s">
        <v>410</v>
      </c>
      <c r="C201" t="s">
        <v>227</v>
      </c>
      <c r="D201" t="s">
        <v>230</v>
      </c>
      <c r="E201" s="204" t="s">
        <v>774</v>
      </c>
      <c r="F201" s="204">
        <v>14172</v>
      </c>
      <c r="G201" t="str">
        <f>LOOKUP(B201,ΠΕΡΙΦΕΡΕΙΑ!$A$2:$A$14,ΠΕΡΙΦΕΡΕΙΑ!$B$2:$B$14)</f>
        <v>Μερική</v>
      </c>
      <c r="H201">
        <f t="shared" si="19"/>
        <v>200</v>
      </c>
      <c r="I201">
        <f t="shared" si="20"/>
        <v>209</v>
      </c>
      <c r="J201" t="str">
        <f t="shared" si="21"/>
        <v>ΚΕΝΤΡΙΚΗΣ ΜΑΚΕΔΟΝΙΑΣ</v>
      </c>
      <c r="K201" t="str">
        <f t="shared" si="22"/>
        <v>ΠΥΔΝΑΣ – ΚΟΛΙΝΔΡΟΥ</v>
      </c>
      <c r="L201" s="170" t="s">
        <v>420</v>
      </c>
      <c r="M201" t="str">
        <f t="shared" si="18"/>
        <v/>
      </c>
      <c r="N201"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v>
      </c>
    </row>
    <row r="202" spans="1:14" x14ac:dyDescent="0.25">
      <c r="A202">
        <v>201</v>
      </c>
      <c r="B202" t="s">
        <v>410</v>
      </c>
      <c r="C202" t="s">
        <v>385</v>
      </c>
      <c r="D202" t="s">
        <v>221</v>
      </c>
      <c r="E202" s="204" t="s">
        <v>775</v>
      </c>
      <c r="F202" s="204">
        <v>14272</v>
      </c>
      <c r="G202" t="str">
        <f>LOOKUP(B202,ΠΕΡΙΦΕΡΕΙΑ!$A$2:$A$14,ΠΕΡΙΦΕΡΕΙΑ!$B$2:$B$14)</f>
        <v>Μερική</v>
      </c>
      <c r="H202">
        <f t="shared" si="19"/>
        <v>201</v>
      </c>
      <c r="I202">
        <f t="shared" si="20"/>
        <v>210</v>
      </c>
      <c r="J202" t="str">
        <f t="shared" si="21"/>
        <v>ΚΕΝΤΡΙΚΗΣ ΜΑΚΕΔΟΝΙΑΣ</v>
      </c>
      <c r="K202" t="str">
        <f t="shared" si="22"/>
        <v>ΠΥΛΑΙΑΣ – ΧΟΡΤΙΑΤΗ</v>
      </c>
      <c r="L202" s="170" t="s">
        <v>419</v>
      </c>
      <c r="M202" t="str">
        <f t="shared" si="18"/>
        <v xml:space="preserve">ΚΕΝΤΡΙΚΗΣ ΜΑΚΕΔΟΝΙΑΣ - ΠΥΛΑΙΑΣ – ΧΟΡΤΙΑΤΗ, </v>
      </c>
      <c r="N202"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v>
      </c>
    </row>
    <row r="203" spans="1:14" x14ac:dyDescent="0.25">
      <c r="A203">
        <v>202</v>
      </c>
      <c r="B203" t="s">
        <v>410</v>
      </c>
      <c r="C203" t="s">
        <v>227</v>
      </c>
      <c r="D203" t="s">
        <v>231</v>
      </c>
      <c r="E203" s="204" t="s">
        <v>776</v>
      </c>
      <c r="F203" s="204">
        <v>14332</v>
      </c>
      <c r="G203" t="str">
        <f>LOOKUP(B203,ΠΕΡΙΦΕΡΕΙΑ!$A$2:$A$14,ΠΕΡΙΦΕΡΕΙΑ!$B$2:$B$14)</f>
        <v>Μερική</v>
      </c>
      <c r="H203">
        <f t="shared" si="19"/>
        <v>202</v>
      </c>
      <c r="I203">
        <f t="shared" si="20"/>
        <v>211</v>
      </c>
      <c r="J203" t="str">
        <f t="shared" si="21"/>
        <v>ΚΕΝΤΡΙΚΗΣ ΜΑΚΕΔΟΝΙΑΣ</v>
      </c>
      <c r="K203" t="str">
        <f t="shared" si="22"/>
        <v>ΣΕΡΡΩΝ</v>
      </c>
      <c r="L203" s="170" t="s">
        <v>419</v>
      </c>
      <c r="M203" t="str">
        <f t="shared" si="18"/>
        <v xml:space="preserve">ΚΕΝΤΡΙΚΗΣ ΜΑΚΕΔΟΝΙΑΣ - ΣΕΡΡΩΝ, </v>
      </c>
      <c r="N203"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v>
      </c>
    </row>
    <row r="204" spans="1:14" x14ac:dyDescent="0.25">
      <c r="A204">
        <v>203</v>
      </c>
      <c r="B204" t="s">
        <v>410</v>
      </c>
      <c r="C204" t="s">
        <v>250</v>
      </c>
      <c r="D204" t="s">
        <v>249</v>
      </c>
      <c r="E204" s="204" t="s">
        <v>777</v>
      </c>
      <c r="F204" s="204">
        <v>14334</v>
      </c>
      <c r="G204" t="str">
        <f>LOOKUP(B204,ΠΕΡΙΦΕΡΕΙΑ!$A$2:$A$14,ΠΕΡΙΦΕΡΕΙΑ!$B$2:$B$14)</f>
        <v>Μερική</v>
      </c>
      <c r="H204">
        <f t="shared" si="19"/>
        <v>203</v>
      </c>
      <c r="I204">
        <f t="shared" si="20"/>
        <v>212</v>
      </c>
      <c r="J204" t="str">
        <f t="shared" si="21"/>
        <v>ΚΕΝΤΡΙΚΗΣ ΜΑΚΕΔΟΝΙΑΣ</v>
      </c>
      <c r="K204" t="str">
        <f t="shared" si="22"/>
        <v>ΣΙΘΩΝΙΑΣ</v>
      </c>
      <c r="L204" s="170" t="s">
        <v>420</v>
      </c>
      <c r="M204" t="str">
        <f t="shared" si="18"/>
        <v/>
      </c>
      <c r="N204"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v>
      </c>
    </row>
    <row r="205" spans="1:14" x14ac:dyDescent="0.25">
      <c r="A205">
        <v>204</v>
      </c>
      <c r="B205" t="s">
        <v>410</v>
      </c>
      <c r="C205" t="s">
        <v>387</v>
      </c>
      <c r="D205" t="s">
        <v>254</v>
      </c>
      <c r="E205" s="204" t="s">
        <v>778</v>
      </c>
      <c r="F205" s="204">
        <v>14318</v>
      </c>
      <c r="G205" t="str">
        <f>LOOKUP(B205,ΠΕΡΙΦΕΡΕΙΑ!$A$2:$A$14,ΠΕΡΙΦΕΡΕΙΑ!$B$2:$B$14)</f>
        <v>Μερική</v>
      </c>
      <c r="H205">
        <f t="shared" si="19"/>
        <v>204</v>
      </c>
      <c r="I205">
        <f t="shared" si="20"/>
        <v>213</v>
      </c>
      <c r="J205" t="str">
        <f t="shared" si="21"/>
        <v>ΚΕΝΤΡΙΚΗΣ ΜΑΚΕΔΟΝΙΑΣ</v>
      </c>
      <c r="K205" t="str">
        <f t="shared" si="22"/>
        <v>ΣΙΝΤΙΚΗΣ</v>
      </c>
      <c r="L205" s="170" t="s">
        <v>420</v>
      </c>
      <c r="M205" t="str">
        <f t="shared" si="18"/>
        <v/>
      </c>
      <c r="N205"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v>
      </c>
    </row>
    <row r="206" spans="1:14" x14ac:dyDescent="0.25">
      <c r="A206">
        <v>205</v>
      </c>
      <c r="B206" t="s">
        <v>410</v>
      </c>
      <c r="C206" t="s">
        <v>236</v>
      </c>
      <c r="D206" t="s">
        <v>237</v>
      </c>
      <c r="E206" s="204" t="s">
        <v>779</v>
      </c>
      <c r="F206" s="204">
        <v>14384</v>
      </c>
      <c r="G206" t="str">
        <f>LOOKUP(B206,ΠΕΡΙΦΕΡΕΙΑ!$A$2:$A$14,ΠΕΡΙΦΕΡΕΙΑ!$B$2:$B$14)</f>
        <v>Μερική</v>
      </c>
      <c r="H206">
        <f t="shared" si="19"/>
        <v>205</v>
      </c>
      <c r="I206">
        <f t="shared" si="20"/>
        <v>214</v>
      </c>
      <c r="J206" t="str">
        <f t="shared" si="21"/>
        <v>ΚΕΝΤΡΙΚΗΣ ΜΑΚΕΔΟΝΙΑΣ</v>
      </c>
      <c r="K206" t="str">
        <f t="shared" si="22"/>
        <v>ΣΚΥΔΡΑΣ</v>
      </c>
      <c r="L206" s="170" t="s">
        <v>419</v>
      </c>
      <c r="M206" t="str">
        <f t="shared" si="18"/>
        <v xml:space="preserve">ΚΕΝΤΡΙΚΗΣ ΜΑΚΕΔΟΝΙΑΣ - ΣΚΥΔΡΑΣ, </v>
      </c>
      <c r="N206"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v>
      </c>
    </row>
    <row r="207" spans="1:14" x14ac:dyDescent="0.25">
      <c r="A207">
        <v>206</v>
      </c>
      <c r="B207" t="s">
        <v>410</v>
      </c>
      <c r="C207" t="s">
        <v>227</v>
      </c>
      <c r="D207" t="s">
        <v>232</v>
      </c>
      <c r="E207" s="204" t="s">
        <v>780</v>
      </c>
      <c r="F207" s="204">
        <v>14368</v>
      </c>
      <c r="G207" t="str">
        <f>LOOKUP(B207,ΠΕΡΙΦΕΡΕΙΑ!$A$2:$A$14,ΠΕΡΙΦΕΡΕΙΑ!$B$2:$B$14)</f>
        <v>Μερική</v>
      </c>
      <c r="H207">
        <f t="shared" si="19"/>
        <v>206</v>
      </c>
      <c r="I207">
        <f t="shared" si="20"/>
        <v>215</v>
      </c>
      <c r="J207" t="str">
        <f t="shared" si="21"/>
        <v>ΚΕΝΤΡΙΚΗΣ ΜΑΚΕΔΟΝΙΑΣ</v>
      </c>
      <c r="K207" t="str">
        <f t="shared" si="22"/>
        <v>ΧΑΛΚΗΔΟΝΟΣ</v>
      </c>
      <c r="L207" s="170" t="s">
        <v>419</v>
      </c>
      <c r="M207" t="str">
        <f t="shared" si="18"/>
        <v xml:space="preserve">ΚΕΝΤΡΙΚΗΣ ΜΑΚΕΔΟΝΙΑΣ - ΧΑΛΚΗΔΟΝΟΣ, </v>
      </c>
      <c r="N207"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v>
      </c>
    </row>
    <row r="208" spans="1:14" x14ac:dyDescent="0.25">
      <c r="A208">
        <v>207</v>
      </c>
      <c r="B208" t="s">
        <v>410</v>
      </c>
      <c r="C208" t="s">
        <v>240</v>
      </c>
      <c r="D208" t="s">
        <v>240</v>
      </c>
      <c r="E208" s="204" t="s">
        <v>781</v>
      </c>
      <c r="F208" s="204">
        <v>14382</v>
      </c>
      <c r="G208" t="str">
        <f>LOOKUP(B208,ΠΕΡΙΦΕΡΕΙΑ!$A$2:$A$14,ΠΕΡΙΦΕΡΕΙΑ!$B$2:$B$14)</f>
        <v>Μερική</v>
      </c>
      <c r="H208">
        <f t="shared" si="19"/>
        <v>207</v>
      </c>
      <c r="I208">
        <f t="shared" si="20"/>
        <v>216</v>
      </c>
      <c r="J208" t="str">
        <f t="shared" si="21"/>
        <v>ΚΕΝΤΡΙΚΗΣ ΜΑΚΕΔΟΝΙΑΣ</v>
      </c>
      <c r="K208" t="str">
        <f t="shared" si="22"/>
        <v>ΩΡΑΙΟΚΑΣΤΡΟΥ</v>
      </c>
      <c r="L208" s="170" t="s">
        <v>419</v>
      </c>
      <c r="M208" t="str">
        <f t="shared" si="18"/>
        <v xml:space="preserve">ΚΕΝΤΡΙΚΗΣ ΜΑΚΕΔΟΝΙΑΣ - ΩΡΑΙΟΚΑΣΤΡΟΥ, </v>
      </c>
      <c r="N208"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v>
      </c>
    </row>
    <row r="209" spans="1:14" x14ac:dyDescent="0.25">
      <c r="A209">
        <v>208</v>
      </c>
      <c r="B209" t="s">
        <v>410</v>
      </c>
      <c r="C209" t="s">
        <v>387</v>
      </c>
      <c r="D209" t="s">
        <v>255</v>
      </c>
      <c r="E209" s="204" t="s">
        <v>782</v>
      </c>
      <c r="F209" s="204">
        <v>14414</v>
      </c>
      <c r="G209" t="str">
        <f>LOOKUP(B209,ΠΕΡΙΦΕΡΕΙΑ!$A$2:$A$14,ΠΕΡΙΦΕΡΕΙΑ!$B$2:$B$14)</f>
        <v>Μερική</v>
      </c>
      <c r="H209">
        <f t="shared" si="19"/>
        <v>208</v>
      </c>
      <c r="I209">
        <f t="shared" si="20"/>
        <v>217</v>
      </c>
      <c r="J209" t="str">
        <f t="shared" si="21"/>
        <v>ΚΡΗΤΗΣ</v>
      </c>
      <c r="K209" t="str">
        <f t="shared" si="22"/>
        <v>ΑΓΙΟΥ ΒΑΣΙΛΕΙΟΥ</v>
      </c>
      <c r="L209" s="170" t="s">
        <v>420</v>
      </c>
      <c r="M209" t="str">
        <f t="shared" si="18"/>
        <v/>
      </c>
      <c r="N209"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v>
      </c>
    </row>
    <row r="210" spans="1:14" x14ac:dyDescent="0.25">
      <c r="A210">
        <v>209</v>
      </c>
      <c r="B210" t="s">
        <v>410</v>
      </c>
      <c r="C210" t="s">
        <v>386</v>
      </c>
      <c r="D210" t="s">
        <v>244</v>
      </c>
      <c r="E210" s="204" t="s">
        <v>783</v>
      </c>
      <c r="F210" s="204">
        <v>14422</v>
      </c>
      <c r="G210" t="str">
        <f>LOOKUP(B210,ΠΕΡΙΦΕΡΕΙΑ!$A$2:$A$14,ΠΕΡΙΦΕΡΕΙΑ!$B$2:$B$14)</f>
        <v>Μερική</v>
      </c>
      <c r="H210">
        <f t="shared" si="19"/>
        <v>209</v>
      </c>
      <c r="I210">
        <f t="shared" si="20"/>
        <v>218</v>
      </c>
      <c r="J210" t="str">
        <f t="shared" si="21"/>
        <v>ΚΡΗΤΗΣ</v>
      </c>
      <c r="K210" t="str">
        <f t="shared" si="22"/>
        <v>ΑΓΙΟΥ ΝΙΚΟΛΑΟΥ</v>
      </c>
      <c r="L210" s="170" t="s">
        <v>419</v>
      </c>
      <c r="M210" t="str">
        <f t="shared" si="18"/>
        <v xml:space="preserve">ΚΡΗΤΗΣ - ΑΓΙΟΥ ΝΙΚΟΛΑΟΥ, </v>
      </c>
      <c r="N210"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v>
      </c>
    </row>
    <row r="211" spans="1:14" x14ac:dyDescent="0.25">
      <c r="A211">
        <v>210</v>
      </c>
      <c r="B211" t="s">
        <v>410</v>
      </c>
      <c r="C211" t="s">
        <v>227</v>
      </c>
      <c r="D211" t="s">
        <v>233</v>
      </c>
      <c r="E211" s="204" t="s">
        <v>784</v>
      </c>
      <c r="F211" s="204">
        <v>14424</v>
      </c>
      <c r="G211" t="str">
        <f>LOOKUP(B211,ΠΕΡΙΦΕΡΕΙΑ!$A$2:$A$14,ΠΕΡΙΦΕΡΕΙΑ!$B$2:$B$14)</f>
        <v>Μερική</v>
      </c>
      <c r="H211">
        <f t="shared" si="19"/>
        <v>210</v>
      </c>
      <c r="I211">
        <f t="shared" si="20"/>
        <v>219</v>
      </c>
      <c r="J211" t="str">
        <f t="shared" si="21"/>
        <v>ΚΡΗΤΗΣ</v>
      </c>
      <c r="K211" t="str">
        <f t="shared" si="22"/>
        <v>ΑΜΑΡΙΟΥ</v>
      </c>
      <c r="L211" s="170" t="s">
        <v>420</v>
      </c>
      <c r="M211" t="str">
        <f t="shared" si="18"/>
        <v/>
      </c>
      <c r="N211"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v>
      </c>
    </row>
    <row r="212" spans="1:14" x14ac:dyDescent="0.25">
      <c r="A212">
        <v>211</v>
      </c>
      <c r="B212" t="s">
        <v>410</v>
      </c>
      <c r="C212" t="s">
        <v>250</v>
      </c>
      <c r="D212" t="s">
        <v>250</v>
      </c>
      <c r="E212" s="204" t="s">
        <v>785</v>
      </c>
      <c r="F212" s="204">
        <v>14454</v>
      </c>
      <c r="G212" t="str">
        <f>LOOKUP(B212,ΠΕΡΙΦΕΡΕΙΑ!$A$2:$A$14,ΠΕΡΙΦΕΡΕΙΑ!$B$2:$B$14)</f>
        <v>Μερική</v>
      </c>
      <c r="H212">
        <f t="shared" si="19"/>
        <v>211</v>
      </c>
      <c r="I212">
        <f t="shared" si="20"/>
        <v>220</v>
      </c>
      <c r="J212" t="str">
        <f t="shared" si="21"/>
        <v>ΚΡΗΤΗΣ</v>
      </c>
      <c r="K212" t="str">
        <f t="shared" si="22"/>
        <v>ΑΝΩΓΕΙΩΝ</v>
      </c>
      <c r="L212" s="170" t="s">
        <v>419</v>
      </c>
      <c r="M212" t="str">
        <f t="shared" si="18"/>
        <v xml:space="preserve">ΚΡΗΤΗΣ - ΑΝΩΓΕΙΩΝ, </v>
      </c>
      <c r="N212"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v>
      </c>
    </row>
    <row r="213" spans="1:14" x14ac:dyDescent="0.25">
      <c r="A213">
        <v>212</v>
      </c>
      <c r="B213" t="s">
        <v>410</v>
      </c>
      <c r="C213" t="s">
        <v>387</v>
      </c>
      <c r="D213" t="s">
        <v>256</v>
      </c>
      <c r="E213" s="204" t="s">
        <v>786</v>
      </c>
      <c r="F213" s="204">
        <v>14456</v>
      </c>
      <c r="G213" t="str">
        <f>LOOKUP(B213,ΠΕΡΙΦΕΡΕΙΑ!$A$2:$A$14,ΠΕΡΙΦΕΡΕΙΑ!$B$2:$B$14)</f>
        <v>Μερική</v>
      </c>
      <c r="H213">
        <f t="shared" si="19"/>
        <v>212</v>
      </c>
      <c r="I213">
        <f t="shared" si="20"/>
        <v>221</v>
      </c>
      <c r="J213" t="str">
        <f t="shared" si="21"/>
        <v>ΚΡΗΤΗΣ</v>
      </c>
      <c r="K213" t="str">
        <f t="shared" si="22"/>
        <v>ΑΠΟΚΟΡΩΝΟΥ</v>
      </c>
      <c r="L213" s="170" t="s">
        <v>419</v>
      </c>
      <c r="M213" t="str">
        <f t="shared" si="18"/>
        <v xml:space="preserve">ΚΡΗΤΗΣ - ΑΠΟΚΟΡΩΝΟΥ, </v>
      </c>
      <c r="N213"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v>
      </c>
    </row>
    <row r="214" spans="1:14" x14ac:dyDescent="0.25">
      <c r="A214">
        <v>213</v>
      </c>
      <c r="B214" t="s">
        <v>410</v>
      </c>
      <c r="C214" t="s">
        <v>250</v>
      </c>
      <c r="D214" t="s">
        <v>251</v>
      </c>
      <c r="E214" s="204" t="s">
        <v>787</v>
      </c>
      <c r="F214" s="204">
        <v>14462</v>
      </c>
      <c r="G214" t="str">
        <f>LOOKUP(B214,ΠΕΡΙΦΕΡΕΙΑ!$A$2:$A$14,ΠΕΡΙΦΕΡΕΙΑ!$B$2:$B$14)</f>
        <v>Μερική</v>
      </c>
      <c r="H214">
        <f t="shared" si="19"/>
        <v>213</v>
      </c>
      <c r="I214">
        <f t="shared" si="20"/>
        <v>222</v>
      </c>
      <c r="J214" t="str">
        <f t="shared" si="21"/>
        <v>ΚΡΗΤΗΣ</v>
      </c>
      <c r="K214" t="str">
        <f t="shared" si="22"/>
        <v>ΑΡΧΑΝΩΝ – ΑΣΤΕΡΟΥΣΙΩΝ</v>
      </c>
      <c r="L214" s="170" t="s">
        <v>419</v>
      </c>
      <c r="M214" t="str">
        <f t="shared" si="18"/>
        <v xml:space="preserve">ΚΡΗΤΗΣ - ΑΡΧΑΝΩΝ – ΑΣΤΕΡΟΥΣΙΩΝ, </v>
      </c>
      <c r="N214"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v>
      </c>
    </row>
    <row r="215" spans="1:14" x14ac:dyDescent="0.25">
      <c r="A215">
        <v>214</v>
      </c>
      <c r="B215" t="s">
        <v>410</v>
      </c>
      <c r="C215" t="s">
        <v>240</v>
      </c>
      <c r="D215" t="s">
        <v>241</v>
      </c>
      <c r="E215" s="204" t="s">
        <v>788</v>
      </c>
      <c r="F215" s="204">
        <v>14472</v>
      </c>
      <c r="G215" t="str">
        <f>LOOKUP(B215,ΠΕΡΙΦΕΡΕΙΑ!$A$2:$A$14,ΠΕΡΙΦΕΡΕΙΑ!$B$2:$B$14)</f>
        <v>Μερική</v>
      </c>
      <c r="H215">
        <f t="shared" si="19"/>
        <v>214</v>
      </c>
      <c r="I215">
        <f t="shared" si="20"/>
        <v>223</v>
      </c>
      <c r="J215" t="str">
        <f t="shared" si="21"/>
        <v>ΚΡΗΤΗΣ</v>
      </c>
      <c r="K215" t="str">
        <f t="shared" si="22"/>
        <v>ΒΙΑΝΝΟΥ</v>
      </c>
      <c r="L215" s="170" t="s">
        <v>419</v>
      </c>
      <c r="M215" t="str">
        <f t="shared" si="18"/>
        <v xml:space="preserve">ΚΡΗΤΗΣ - ΒΙΑΝΝΟΥ, </v>
      </c>
      <c r="N215"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v>
      </c>
    </row>
    <row r="216" spans="1:14" x14ac:dyDescent="0.25">
      <c r="A216">
        <v>215</v>
      </c>
      <c r="B216" t="s">
        <v>410</v>
      </c>
      <c r="C216" t="s">
        <v>227</v>
      </c>
      <c r="D216" t="s">
        <v>234</v>
      </c>
      <c r="E216" s="204" t="s">
        <v>789</v>
      </c>
      <c r="F216" s="204">
        <v>14544</v>
      </c>
      <c r="G216" t="str">
        <f>LOOKUP(B216,ΠΕΡΙΦΕΡΕΙΑ!$A$2:$A$14,ΠΕΡΙΦΕΡΕΙΑ!$B$2:$B$14)</f>
        <v>Μερική</v>
      </c>
      <c r="H216">
        <f t="shared" si="19"/>
        <v>215</v>
      </c>
      <c r="I216">
        <f t="shared" si="20"/>
        <v>224</v>
      </c>
      <c r="J216" t="str">
        <f t="shared" si="21"/>
        <v>ΚΡΗΤΗΣ</v>
      </c>
      <c r="K216" t="str">
        <f t="shared" si="22"/>
        <v>ΓΑΥΔΟΥ</v>
      </c>
      <c r="L216" s="170" t="s">
        <v>420</v>
      </c>
      <c r="M216" t="str">
        <f t="shared" si="18"/>
        <v/>
      </c>
      <c r="N216"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v>
      </c>
    </row>
    <row r="217" spans="1:14" x14ac:dyDescent="0.25">
      <c r="A217">
        <v>216</v>
      </c>
      <c r="B217" t="s">
        <v>410</v>
      </c>
      <c r="C217" t="s">
        <v>227</v>
      </c>
      <c r="D217" t="s">
        <v>235</v>
      </c>
      <c r="E217" s="204" t="s">
        <v>790</v>
      </c>
      <c r="F217" s="204">
        <v>14534</v>
      </c>
      <c r="G217" t="str">
        <f>LOOKUP(B217,ΠΕΡΙΦΕΡΕΙΑ!$A$2:$A$14,ΠΕΡΙΦΕΡΕΙΑ!$B$2:$B$14)</f>
        <v>Μερική</v>
      </c>
      <c r="H217">
        <f t="shared" si="19"/>
        <v>216</v>
      </c>
      <c r="I217">
        <f t="shared" si="20"/>
        <v>225</v>
      </c>
      <c r="J217" t="str">
        <f t="shared" si="21"/>
        <v>ΚΡΗΤΗΣ</v>
      </c>
      <c r="K217" t="str">
        <f t="shared" si="22"/>
        <v>ΓΟΡΤΥΝΑΣ</v>
      </c>
      <c r="L217" s="170" t="s">
        <v>419</v>
      </c>
      <c r="M217" t="str">
        <f t="shared" si="18"/>
        <v xml:space="preserve">ΚΡΗΤΗΣ - ΓΟΡΤΥΝΑΣ, </v>
      </c>
      <c r="N217"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v>
      </c>
    </row>
    <row r="218" spans="1:14" x14ac:dyDescent="0.25">
      <c r="A218">
        <v>217</v>
      </c>
      <c r="B218" t="s">
        <v>411</v>
      </c>
      <c r="C218" t="s">
        <v>389</v>
      </c>
      <c r="D218" t="s">
        <v>268</v>
      </c>
      <c r="E218" s="204" t="s">
        <v>791</v>
      </c>
      <c r="F218" s="204">
        <v>14554</v>
      </c>
      <c r="G218" t="str">
        <f>LOOKUP(B218,ΠΕΡΙΦΕΡΕΙΑ!$A$2:$A$14,ΠΕΡΙΦΕΡΕΙΑ!$B$2:$B$14)</f>
        <v>Μερική</v>
      </c>
      <c r="H218">
        <f t="shared" si="19"/>
        <v>217</v>
      </c>
      <c r="I218">
        <f t="shared" si="20"/>
        <v>226</v>
      </c>
      <c r="J218" t="str">
        <f t="shared" si="21"/>
        <v>ΚΡΗΤΗΣ</v>
      </c>
      <c r="K218" t="str">
        <f t="shared" si="22"/>
        <v>ΗΡΑΚΛΕΙΟΥ</v>
      </c>
      <c r="L218" s="170" t="s">
        <v>419</v>
      </c>
      <c r="M218" t="str">
        <f t="shared" si="18"/>
        <v xml:space="preserve">ΚΡΗΤΗΣ - ΗΡΑΚΛΕΙΟΥ, </v>
      </c>
      <c r="N218"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v>
      </c>
    </row>
    <row r="219" spans="1:14" x14ac:dyDescent="0.25">
      <c r="A219">
        <v>218</v>
      </c>
      <c r="B219" t="s">
        <v>411</v>
      </c>
      <c r="C219" t="s">
        <v>388</v>
      </c>
      <c r="D219" t="s">
        <v>264</v>
      </c>
      <c r="E219" s="204" t="s">
        <v>792</v>
      </c>
      <c r="F219" s="204">
        <v>13930</v>
      </c>
      <c r="G219" t="str">
        <f>LOOKUP(B219,ΠΕΡΙΦΕΡΕΙΑ!$A$2:$A$14,ΠΕΡΙΦΕΡΕΙΑ!$B$2:$B$14)</f>
        <v>Μερική</v>
      </c>
      <c r="H219">
        <f t="shared" si="19"/>
        <v>218</v>
      </c>
      <c r="I219">
        <f t="shared" si="20"/>
        <v>227</v>
      </c>
      <c r="J219" t="str">
        <f t="shared" si="21"/>
        <v>ΚΡΗΤΗΣ</v>
      </c>
      <c r="K219" t="str">
        <f t="shared" si="22"/>
        <v>ΙΕΡΑΠΕΤΡΑΣ</v>
      </c>
      <c r="L219" s="170" t="s">
        <v>419</v>
      </c>
      <c r="M219" t="str">
        <f t="shared" si="18"/>
        <v xml:space="preserve">ΚΡΗΤΗΣ - ΙΕΡΑΠΕΤΡΑΣ, </v>
      </c>
      <c r="N219"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v>
      </c>
    </row>
    <row r="220" spans="1:14" x14ac:dyDescent="0.25">
      <c r="A220">
        <v>219</v>
      </c>
      <c r="B220" t="s">
        <v>411</v>
      </c>
      <c r="C220" t="s">
        <v>389</v>
      </c>
      <c r="D220" t="s">
        <v>269</v>
      </c>
      <c r="E220" s="204" t="s">
        <v>793</v>
      </c>
      <c r="F220" s="204">
        <v>13962</v>
      </c>
      <c r="G220" t="str">
        <f>LOOKUP(B220,ΠΕΡΙΦΕΡΕΙΑ!$A$2:$A$14,ΠΕΡΙΦΕΡΕΙΑ!$B$2:$B$14)</f>
        <v>Μερική</v>
      </c>
      <c r="H220">
        <f t="shared" si="19"/>
        <v>219</v>
      </c>
      <c r="I220">
        <f t="shared" si="20"/>
        <v>228</v>
      </c>
      <c r="J220" t="str">
        <f t="shared" si="21"/>
        <v>ΚΡΗΤΗΣ</v>
      </c>
      <c r="K220" t="str">
        <f t="shared" si="22"/>
        <v>ΚΑΝΤΑΝΟΥ – ΣΕΛΙΝΟΥ</v>
      </c>
      <c r="L220" s="170" t="s">
        <v>420</v>
      </c>
      <c r="M220" t="str">
        <f t="shared" si="18"/>
        <v/>
      </c>
      <c r="N220"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v>
      </c>
    </row>
    <row r="221" spans="1:14" x14ac:dyDescent="0.25">
      <c r="A221">
        <v>220</v>
      </c>
      <c r="B221" t="s">
        <v>411</v>
      </c>
      <c r="C221" t="s">
        <v>389</v>
      </c>
      <c r="D221" t="s">
        <v>270</v>
      </c>
      <c r="E221" s="204" t="s">
        <v>794</v>
      </c>
      <c r="F221" s="204">
        <v>13908</v>
      </c>
      <c r="G221" t="str">
        <f>LOOKUP(B221,ΠΕΡΙΦΕΡΕΙΑ!$A$2:$A$14,ΠΕΡΙΦΕΡΕΙΑ!$B$2:$B$14)</f>
        <v>Μερική</v>
      </c>
      <c r="H221">
        <f t="shared" si="19"/>
        <v>220</v>
      </c>
      <c r="I221">
        <f t="shared" si="20"/>
        <v>229</v>
      </c>
      <c r="J221" t="str">
        <f t="shared" si="21"/>
        <v>ΚΡΗΤΗΣ</v>
      </c>
      <c r="K221" t="str">
        <f t="shared" si="22"/>
        <v>ΚΙΣΣΑΜΟΥ</v>
      </c>
      <c r="L221" s="170" t="s">
        <v>420</v>
      </c>
      <c r="M221" t="str">
        <f t="shared" si="18"/>
        <v/>
      </c>
      <c r="N221"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v>
      </c>
    </row>
    <row r="222" spans="1:14" x14ac:dyDescent="0.25">
      <c r="A222">
        <v>221</v>
      </c>
      <c r="B222" t="s">
        <v>411</v>
      </c>
      <c r="C222" t="s">
        <v>279</v>
      </c>
      <c r="D222" t="s">
        <v>273</v>
      </c>
      <c r="E222" s="204" t="s">
        <v>795</v>
      </c>
      <c r="F222" s="204">
        <v>13990</v>
      </c>
      <c r="G222" t="str">
        <f>LOOKUP(B222,ΠΕΡΙΦΕΡΕΙΑ!$A$2:$A$14,ΠΕΡΙΦΕΡΕΙΑ!$B$2:$B$14)</f>
        <v>Μερική</v>
      </c>
      <c r="H222">
        <f t="shared" si="19"/>
        <v>221</v>
      </c>
      <c r="I222">
        <f t="shared" si="20"/>
        <v>230</v>
      </c>
      <c r="J222" t="str">
        <f t="shared" si="21"/>
        <v>ΚΡΗΤΗΣ</v>
      </c>
      <c r="K222" t="str">
        <f t="shared" si="22"/>
        <v>ΜΑΛΕΒΙΖΙΟΥ</v>
      </c>
      <c r="L222" s="170" t="s">
        <v>419</v>
      </c>
      <c r="M222" t="str">
        <f t="shared" si="18"/>
        <v xml:space="preserve">ΚΡΗΤΗΣ - ΜΑΛΕΒΙΖΙΟΥ, </v>
      </c>
      <c r="N222"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v>
      </c>
    </row>
    <row r="223" spans="1:14" x14ac:dyDescent="0.25">
      <c r="A223">
        <v>222</v>
      </c>
      <c r="B223" t="s">
        <v>411</v>
      </c>
      <c r="C223" t="s">
        <v>79</v>
      </c>
      <c r="D223" t="s">
        <v>257</v>
      </c>
      <c r="E223" s="204" t="s">
        <v>796</v>
      </c>
      <c r="F223" s="204">
        <v>14002</v>
      </c>
      <c r="G223" t="str">
        <f>LOOKUP(B223,ΠΕΡΙΦΕΡΕΙΑ!$A$2:$A$14,ΠΕΡΙΦΕΡΕΙΑ!$B$2:$B$14)</f>
        <v>Μερική</v>
      </c>
      <c r="H223">
        <f t="shared" si="19"/>
        <v>222</v>
      </c>
      <c r="I223">
        <f t="shared" si="20"/>
        <v>231</v>
      </c>
      <c r="J223" t="str">
        <f t="shared" si="21"/>
        <v>ΚΡΗΤΗΣ</v>
      </c>
      <c r="K223" t="str">
        <f t="shared" si="22"/>
        <v>ΜΙΝΩΑ ΠΕΔΙΑΔΑΣ</v>
      </c>
      <c r="L223" s="170" t="s">
        <v>419</v>
      </c>
      <c r="M223" t="str">
        <f t="shared" si="18"/>
        <v xml:space="preserve">ΚΡΗΤΗΣ - ΜΙΝΩΑ ΠΕΔΙΑΔΑΣ, </v>
      </c>
      <c r="N223"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v>
      </c>
    </row>
    <row r="224" spans="1:14" x14ac:dyDescent="0.25">
      <c r="A224">
        <v>223</v>
      </c>
      <c r="B224" t="s">
        <v>411</v>
      </c>
      <c r="C224" t="s">
        <v>79</v>
      </c>
      <c r="D224" t="s">
        <v>258</v>
      </c>
      <c r="E224" s="204" t="s">
        <v>797</v>
      </c>
      <c r="F224" s="204">
        <v>14016</v>
      </c>
      <c r="G224" t="str">
        <f>LOOKUP(B224,ΠΕΡΙΦΕΡΕΙΑ!$A$2:$A$14,ΠΕΡΙΦΕΡΕΙΑ!$B$2:$B$14)</f>
        <v>Μερική</v>
      </c>
      <c r="H224">
        <f t="shared" si="19"/>
        <v>223</v>
      </c>
      <c r="I224">
        <f t="shared" si="20"/>
        <v>232</v>
      </c>
      <c r="J224" t="str">
        <f t="shared" si="21"/>
        <v>ΚΡΗΤΗΣ</v>
      </c>
      <c r="K224" t="str">
        <f t="shared" si="22"/>
        <v>ΜΥΛΟΠΟΤΑΜΟΥ</v>
      </c>
      <c r="L224" s="170" t="s">
        <v>419</v>
      </c>
      <c r="M224" t="str">
        <f t="shared" si="18"/>
        <v xml:space="preserve">ΚΡΗΤΗΣ - ΜΥΛΟΠΟΤΑΜΟΥ, </v>
      </c>
      <c r="N224"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v>
      </c>
    </row>
    <row r="225" spans="1:14" x14ac:dyDescent="0.25">
      <c r="A225">
        <v>224</v>
      </c>
      <c r="B225" t="s">
        <v>411</v>
      </c>
      <c r="C225" t="s">
        <v>279</v>
      </c>
      <c r="D225" t="s">
        <v>274</v>
      </c>
      <c r="E225" s="204" t="s">
        <v>798</v>
      </c>
      <c r="F225" s="204">
        <v>14026</v>
      </c>
      <c r="G225" t="str">
        <f>LOOKUP(B225,ΠΕΡΙΦΕΡΕΙΑ!$A$2:$A$14,ΠΕΡΙΦΕΡΕΙΑ!$B$2:$B$14)</f>
        <v>Μερική</v>
      </c>
      <c r="H225">
        <f t="shared" si="19"/>
        <v>224</v>
      </c>
      <c r="I225">
        <f t="shared" si="20"/>
        <v>233</v>
      </c>
      <c r="J225" t="str">
        <f t="shared" si="21"/>
        <v>ΚΡΗΤΗΣ</v>
      </c>
      <c r="K225" t="str">
        <f t="shared" si="22"/>
        <v>ΟΡΟΠΕΔΙΟΥ ΛΑΣΙΘΙΟΥ</v>
      </c>
      <c r="L225" s="170" t="s">
        <v>420</v>
      </c>
      <c r="M225" t="str">
        <f t="shared" si="18"/>
        <v/>
      </c>
      <c r="N225"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v>
      </c>
    </row>
    <row r="226" spans="1:14" x14ac:dyDescent="0.25">
      <c r="A226">
        <v>225</v>
      </c>
      <c r="B226" t="s">
        <v>411</v>
      </c>
      <c r="C226" t="s">
        <v>79</v>
      </c>
      <c r="D226" t="s">
        <v>259</v>
      </c>
      <c r="E226" s="204" t="s">
        <v>799</v>
      </c>
      <c r="F226" s="204">
        <v>14044</v>
      </c>
      <c r="G226" t="str">
        <f>LOOKUP(B226,ΠΕΡΙΦΕΡΕΙΑ!$A$2:$A$14,ΠΕΡΙΦΕΡΕΙΑ!$B$2:$B$14)</f>
        <v>Μερική</v>
      </c>
      <c r="H226">
        <f t="shared" si="19"/>
        <v>225</v>
      </c>
      <c r="I226">
        <f t="shared" si="20"/>
        <v>234</v>
      </c>
      <c r="J226" t="str">
        <f t="shared" si="21"/>
        <v>ΚΡΗΤΗΣ</v>
      </c>
      <c r="K226" t="str">
        <f t="shared" si="22"/>
        <v>ΠΛΑΤΑΝΙΑ</v>
      </c>
      <c r="L226" s="170" t="s">
        <v>419</v>
      </c>
      <c r="M226" t="str">
        <f t="shared" si="18"/>
        <v xml:space="preserve">ΚΡΗΤΗΣ - ΠΛΑΤΑΝΙΑ, </v>
      </c>
      <c r="N226"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v>
      </c>
    </row>
    <row r="227" spans="1:14" x14ac:dyDescent="0.25">
      <c r="A227">
        <v>226</v>
      </c>
      <c r="B227" t="s">
        <v>411</v>
      </c>
      <c r="C227" t="s">
        <v>79</v>
      </c>
      <c r="D227" t="s">
        <v>79</v>
      </c>
      <c r="E227" s="204" t="s">
        <v>800</v>
      </c>
      <c r="F227" s="204">
        <v>14122</v>
      </c>
      <c r="G227" t="str">
        <f>LOOKUP(B227,ΠΕΡΙΦΕΡΕΙΑ!$A$2:$A$14,ΠΕΡΙΦΕΡΕΙΑ!$B$2:$B$14)</f>
        <v>Μερική</v>
      </c>
      <c r="H227">
        <f t="shared" si="19"/>
        <v>226</v>
      </c>
      <c r="I227">
        <f t="shared" si="20"/>
        <v>235</v>
      </c>
      <c r="J227" t="str">
        <f t="shared" si="21"/>
        <v>ΚΡΗΤΗΣ</v>
      </c>
      <c r="K227" t="str">
        <f t="shared" si="22"/>
        <v>ΡΕΘΥΜΝΗΣ</v>
      </c>
      <c r="L227" s="170" t="s">
        <v>419</v>
      </c>
      <c r="M227" t="str">
        <f t="shared" si="18"/>
        <v xml:space="preserve">ΚΡΗΤΗΣ - ΡΕΘΥΜΝΗΣ, </v>
      </c>
      <c r="N227"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v>
      </c>
    </row>
    <row r="228" spans="1:14" x14ac:dyDescent="0.25">
      <c r="A228">
        <v>227</v>
      </c>
      <c r="B228" t="s">
        <v>411</v>
      </c>
      <c r="C228" t="s">
        <v>388</v>
      </c>
      <c r="D228" t="s">
        <v>265</v>
      </c>
      <c r="E228" s="204" t="s">
        <v>801</v>
      </c>
      <c r="F228" s="204">
        <v>14134</v>
      </c>
      <c r="G228" t="str">
        <f>LOOKUP(B228,ΠΕΡΙΦΕΡΕΙΑ!$A$2:$A$14,ΠΕΡΙΦΕΡΕΙΑ!$B$2:$B$14)</f>
        <v>Μερική</v>
      </c>
      <c r="H228">
        <f t="shared" si="19"/>
        <v>227</v>
      </c>
      <c r="I228">
        <f t="shared" si="20"/>
        <v>236</v>
      </c>
      <c r="J228" t="str">
        <f t="shared" si="21"/>
        <v>ΚΡΗΤΗΣ</v>
      </c>
      <c r="K228" t="str">
        <f t="shared" si="22"/>
        <v>ΣΗΤΕΙΑΣ</v>
      </c>
      <c r="L228" s="170" t="s">
        <v>419</v>
      </c>
      <c r="M228" t="str">
        <f t="shared" si="18"/>
        <v xml:space="preserve">ΚΡΗΤΗΣ - ΣΗΤΕΙΑΣ, </v>
      </c>
      <c r="N228"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v>
      </c>
    </row>
    <row r="229" spans="1:14" x14ac:dyDescent="0.25">
      <c r="A229">
        <v>228</v>
      </c>
      <c r="B229" t="s">
        <v>411</v>
      </c>
      <c r="C229" t="s">
        <v>279</v>
      </c>
      <c r="D229" t="s">
        <v>275</v>
      </c>
      <c r="E229" s="204" t="s">
        <v>802</v>
      </c>
      <c r="F229" s="204">
        <v>14186</v>
      </c>
      <c r="G229" t="str">
        <f>LOOKUP(B229,ΠΕΡΙΦΕΡΕΙΑ!$A$2:$A$14,ΠΕΡΙΦΕΡΕΙΑ!$B$2:$B$14)</f>
        <v>Μερική</v>
      </c>
      <c r="H229">
        <f t="shared" si="19"/>
        <v>228</v>
      </c>
      <c r="I229">
        <f t="shared" si="20"/>
        <v>237</v>
      </c>
      <c r="J229" t="str">
        <f t="shared" si="21"/>
        <v>ΚΡΗΤΗΣ</v>
      </c>
      <c r="K229" t="str">
        <f t="shared" si="22"/>
        <v>ΣΦΑΚΙΩΝ</v>
      </c>
      <c r="L229" s="170" t="s">
        <v>420</v>
      </c>
      <c r="M229" t="str">
        <f t="shared" si="18"/>
        <v/>
      </c>
      <c r="N229"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v>
      </c>
    </row>
    <row r="230" spans="1:14" x14ac:dyDescent="0.25">
      <c r="A230">
        <v>229</v>
      </c>
      <c r="B230" t="s">
        <v>411</v>
      </c>
      <c r="C230" t="s">
        <v>279</v>
      </c>
      <c r="D230" t="s">
        <v>276</v>
      </c>
      <c r="E230" s="204" t="s">
        <v>803</v>
      </c>
      <c r="F230" s="204">
        <v>14216</v>
      </c>
      <c r="G230" t="str">
        <f>LOOKUP(B230,ΠΕΡΙΦΕΡΕΙΑ!$A$2:$A$14,ΠΕΡΙΦΕΡΕΙΑ!$B$2:$B$14)</f>
        <v>Μερική</v>
      </c>
      <c r="H230">
        <f t="shared" si="19"/>
        <v>229</v>
      </c>
      <c r="I230">
        <f t="shared" si="20"/>
        <v>238</v>
      </c>
      <c r="J230" t="str">
        <f t="shared" si="21"/>
        <v>ΚΡΗΤΗΣ</v>
      </c>
      <c r="K230" t="str">
        <f t="shared" si="22"/>
        <v>ΦΑΙΣΤΟΥ</v>
      </c>
      <c r="L230" s="170" t="s">
        <v>419</v>
      </c>
      <c r="M230" t="str">
        <f t="shared" si="18"/>
        <v xml:space="preserve">ΚΡΗΤΗΣ - ΦΑΙΣΤΟΥ, </v>
      </c>
      <c r="N230"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v>
      </c>
    </row>
    <row r="231" spans="1:14" x14ac:dyDescent="0.25">
      <c r="A231">
        <v>230</v>
      </c>
      <c r="B231" t="s">
        <v>411</v>
      </c>
      <c r="C231" t="s">
        <v>79</v>
      </c>
      <c r="D231" t="s">
        <v>260</v>
      </c>
      <c r="E231" s="204" t="s">
        <v>804</v>
      </c>
      <c r="F231" s="204">
        <v>14264</v>
      </c>
      <c r="G231" t="str">
        <f>LOOKUP(B231,ΠΕΡΙΦΕΡΕΙΑ!$A$2:$A$14,ΠΕΡΙΦΕΡΕΙΑ!$B$2:$B$14)</f>
        <v>Μερική</v>
      </c>
      <c r="H231">
        <f t="shared" si="19"/>
        <v>230</v>
      </c>
      <c r="I231">
        <f t="shared" si="20"/>
        <v>239</v>
      </c>
      <c r="J231" t="str">
        <f t="shared" si="21"/>
        <v>ΚΡΗΤΗΣ</v>
      </c>
      <c r="K231" t="str">
        <f t="shared" si="22"/>
        <v>ΧΑΝΙΩΝ</v>
      </c>
      <c r="L231" s="170" t="s">
        <v>419</v>
      </c>
      <c r="M231" t="str">
        <f t="shared" si="18"/>
        <v xml:space="preserve">ΚΡΗΤΗΣ - ΧΑΝΙΩΝ, </v>
      </c>
      <c r="N231"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v>
      </c>
    </row>
    <row r="232" spans="1:14" x14ac:dyDescent="0.25">
      <c r="A232">
        <v>231</v>
      </c>
      <c r="B232" t="s">
        <v>411</v>
      </c>
      <c r="C232" t="s">
        <v>79</v>
      </c>
      <c r="D232" t="s">
        <v>261</v>
      </c>
      <c r="E232" s="204" t="s">
        <v>805</v>
      </c>
      <c r="F232" s="204">
        <v>14298</v>
      </c>
      <c r="G232" t="str">
        <f>LOOKUP(B232,ΠΕΡΙΦΕΡΕΙΑ!$A$2:$A$14,ΠΕΡΙΦΕΡΕΙΑ!$B$2:$B$14)</f>
        <v>Μερική</v>
      </c>
      <c r="H232">
        <f t="shared" si="19"/>
        <v>231</v>
      </c>
      <c r="I232">
        <f t="shared" si="20"/>
        <v>240</v>
      </c>
      <c r="J232" t="str">
        <f t="shared" si="21"/>
        <v>ΚΡΗΤΗΣ</v>
      </c>
      <c r="K232" t="str">
        <f t="shared" si="22"/>
        <v>ΧΕΡΣΟΝΗΣΟΥ</v>
      </c>
      <c r="L232" s="170" t="s">
        <v>419</v>
      </c>
      <c r="M232" t="str">
        <f t="shared" si="18"/>
        <v xml:space="preserve">ΚΡΗΤΗΣ - ΧΕΡΣΟΝΗΣΟΥ, </v>
      </c>
      <c r="N232"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v>
      </c>
    </row>
    <row r="233" spans="1:14" x14ac:dyDescent="0.25">
      <c r="A233">
        <v>232</v>
      </c>
      <c r="B233" t="s">
        <v>411</v>
      </c>
      <c r="C233" t="s">
        <v>389</v>
      </c>
      <c r="D233" t="s">
        <v>271</v>
      </c>
      <c r="E233" s="204" t="s">
        <v>806</v>
      </c>
      <c r="F233" s="204">
        <v>14270</v>
      </c>
      <c r="G233" t="str">
        <f>LOOKUP(B233,ΠΕΡΙΦΕΡΕΙΑ!$A$2:$A$14,ΠΕΡΙΦΕΡΕΙΑ!$B$2:$B$14)</f>
        <v>Μερική</v>
      </c>
      <c r="H233">
        <f t="shared" si="19"/>
        <v>232</v>
      </c>
      <c r="I233">
        <f t="shared" si="20"/>
        <v>275</v>
      </c>
      <c r="J233" t="str">
        <f t="shared" si="21"/>
        <v>ΠΕΛΟΠΟΝΝΗΣΟΥ</v>
      </c>
      <c r="K233" t="str">
        <f t="shared" si="22"/>
        <v>ΑΝΑΤΟΛΙΚΗΣ ΜΑΝΗΣ</v>
      </c>
      <c r="L233" s="170" t="s">
        <v>420</v>
      </c>
      <c r="M233" t="str">
        <f t="shared" si="18"/>
        <v/>
      </c>
      <c r="N233"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v>
      </c>
    </row>
    <row r="234" spans="1:14" x14ac:dyDescent="0.25">
      <c r="A234">
        <v>233</v>
      </c>
      <c r="B234" t="s">
        <v>411</v>
      </c>
      <c r="C234" t="s">
        <v>388</v>
      </c>
      <c r="D234" t="s">
        <v>266</v>
      </c>
      <c r="E234" s="204" t="s">
        <v>807</v>
      </c>
      <c r="F234" s="204">
        <v>14358</v>
      </c>
      <c r="G234" t="str">
        <f>LOOKUP(B234,ΠΕΡΙΦΕΡΕΙΑ!$A$2:$A$14,ΠΕΡΙΦΕΡΕΙΑ!$B$2:$B$14)</f>
        <v>Μερική</v>
      </c>
      <c r="H234">
        <f t="shared" si="19"/>
        <v>233</v>
      </c>
      <c r="I234">
        <f t="shared" si="20"/>
        <v>276</v>
      </c>
      <c r="J234" t="str">
        <f t="shared" si="21"/>
        <v>ΠΕΛΟΠΟΝΝΗΣΟΥ</v>
      </c>
      <c r="K234" t="str">
        <f t="shared" si="22"/>
        <v>ΑΡΓΟΥΣ – ΜΥΚΗΝΩΝ</v>
      </c>
      <c r="L234" s="170" t="s">
        <v>419</v>
      </c>
      <c r="M234" t="str">
        <f t="shared" si="18"/>
        <v xml:space="preserve">ΠΕΛΟΠΟΝΝΗΣΟΥ - ΑΡΓΟΥΣ – ΜΥΚΗΝΩΝ, </v>
      </c>
      <c r="N234"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v>
      </c>
    </row>
    <row r="235" spans="1:14" x14ac:dyDescent="0.25">
      <c r="A235">
        <v>234</v>
      </c>
      <c r="B235" t="s">
        <v>411</v>
      </c>
      <c r="C235" t="s">
        <v>279</v>
      </c>
      <c r="D235" t="s">
        <v>277</v>
      </c>
      <c r="E235" s="204" t="s">
        <v>808</v>
      </c>
      <c r="F235" s="204">
        <v>14412</v>
      </c>
      <c r="G235" t="str">
        <f>LOOKUP(B235,ΠΕΡΙΦΕΡΕΙΑ!$A$2:$A$14,ΠΕΡΙΦΕΡΕΙΑ!$B$2:$B$14)</f>
        <v>Μερική</v>
      </c>
      <c r="H235">
        <f t="shared" si="19"/>
        <v>234</v>
      </c>
      <c r="I235">
        <f t="shared" si="20"/>
        <v>277</v>
      </c>
      <c r="J235" t="str">
        <f t="shared" si="21"/>
        <v>ΠΕΛΟΠΟΝΝΗΣΟΥ</v>
      </c>
      <c r="K235" t="str">
        <f t="shared" si="22"/>
        <v>ΒΕΛΟΥ – ΒΟΧΑΣ</v>
      </c>
      <c r="L235" s="170" t="s">
        <v>419</v>
      </c>
      <c r="M235" t="str">
        <f t="shared" si="18"/>
        <v xml:space="preserve">ΠΕΛΟΠΟΝΝΗΣΟΥ - ΒΕΛΟΥ – ΒΟΧΑΣ, </v>
      </c>
      <c r="N235"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v>
      </c>
    </row>
    <row r="236" spans="1:14" x14ac:dyDescent="0.25">
      <c r="A236">
        <v>235</v>
      </c>
      <c r="B236" t="s">
        <v>411</v>
      </c>
      <c r="C236" t="s">
        <v>389</v>
      </c>
      <c r="D236" t="s">
        <v>272</v>
      </c>
      <c r="E236" s="204" t="s">
        <v>809</v>
      </c>
      <c r="F236" s="204">
        <v>14428</v>
      </c>
      <c r="G236" t="str">
        <f>LOOKUP(B236,ΠΕΡΙΦΕΡΕΙΑ!$A$2:$A$14,ΠΕΡΙΦΕΡΕΙΑ!$B$2:$B$14)</f>
        <v>Μερική</v>
      </c>
      <c r="H236">
        <f t="shared" si="19"/>
        <v>235</v>
      </c>
      <c r="I236">
        <f t="shared" si="20"/>
        <v>278</v>
      </c>
      <c r="J236" t="str">
        <f t="shared" si="21"/>
        <v>ΠΕΛΟΠΟΝΝΗΣΟΥ</v>
      </c>
      <c r="K236" t="str">
        <f t="shared" si="22"/>
        <v>ΒΟΡΕΙΑΣ ΚΥΝΟΥΡΙΑΣ</v>
      </c>
      <c r="L236" s="170" t="s">
        <v>420</v>
      </c>
      <c r="M236" t="str">
        <f t="shared" si="18"/>
        <v/>
      </c>
      <c r="N236"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v>
      </c>
    </row>
    <row r="237" spans="1:14" x14ac:dyDescent="0.25">
      <c r="A237">
        <v>236</v>
      </c>
      <c r="B237" t="s">
        <v>411</v>
      </c>
      <c r="C237" t="s">
        <v>388</v>
      </c>
      <c r="D237" t="s">
        <v>267</v>
      </c>
      <c r="E237" s="204" t="s">
        <v>810</v>
      </c>
      <c r="F237" s="204">
        <v>14452</v>
      </c>
      <c r="G237" t="str">
        <f>LOOKUP(B237,ΠΕΡΙΦΕΡΕΙΑ!$A$2:$A$14,ΠΕΡΙΦΕΡΕΙΑ!$B$2:$B$14)</f>
        <v>Μερική</v>
      </c>
      <c r="H237">
        <f t="shared" si="19"/>
        <v>236</v>
      </c>
      <c r="I237">
        <f t="shared" si="20"/>
        <v>279</v>
      </c>
      <c r="J237" t="str">
        <f t="shared" si="21"/>
        <v>ΠΕΛΟΠΟΝΝΗΣΟΥ</v>
      </c>
      <c r="K237" t="str">
        <f t="shared" si="22"/>
        <v>ΓΟΡΤΥΝΙΑΣ</v>
      </c>
      <c r="L237" s="170" t="s">
        <v>420</v>
      </c>
      <c r="M237" t="str">
        <f t="shared" si="18"/>
        <v/>
      </c>
      <c r="N237"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v>
      </c>
    </row>
    <row r="238" spans="1:14" x14ac:dyDescent="0.25">
      <c r="A238">
        <v>237</v>
      </c>
      <c r="B238" t="s">
        <v>411</v>
      </c>
      <c r="C238" t="s">
        <v>279</v>
      </c>
      <c r="D238" t="s">
        <v>278</v>
      </c>
      <c r="E238" s="204" t="s">
        <v>811</v>
      </c>
      <c r="F238" s="204">
        <v>14442</v>
      </c>
      <c r="G238" t="str">
        <f>LOOKUP(B238,ΠΕΡΙΦΕΡΕΙΑ!$A$2:$A$14,ΠΕΡΙΦΕΡΕΙΑ!$B$2:$B$14)</f>
        <v>Μερική</v>
      </c>
      <c r="H238">
        <f t="shared" si="19"/>
        <v>237</v>
      </c>
      <c r="I238">
        <f t="shared" si="20"/>
        <v>280</v>
      </c>
      <c r="J238" t="str">
        <f t="shared" si="21"/>
        <v>ΠΕΛΟΠΟΝΝΗΣΟΥ</v>
      </c>
      <c r="K238" t="str">
        <f t="shared" si="22"/>
        <v>ΔΥΤΙΚΗΣ ΜΑΝΗΣ</v>
      </c>
      <c r="L238" s="170" t="s">
        <v>420</v>
      </c>
      <c r="M238" t="str">
        <f t="shared" si="18"/>
        <v/>
      </c>
      <c r="N238"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v>
      </c>
    </row>
    <row r="239" spans="1:14" x14ac:dyDescent="0.25">
      <c r="A239">
        <v>238</v>
      </c>
      <c r="B239" t="s">
        <v>411</v>
      </c>
      <c r="C239" t="s">
        <v>79</v>
      </c>
      <c r="D239" t="s">
        <v>262</v>
      </c>
      <c r="E239" s="204" t="s">
        <v>812</v>
      </c>
      <c r="F239" s="204">
        <v>14510</v>
      </c>
      <c r="G239" t="str">
        <f>LOOKUP(B239,ΠΕΡΙΦΕΡΕΙΑ!$A$2:$A$14,ΠΕΡΙΦΕΡΕΙΑ!$B$2:$B$14)</f>
        <v>Μερική</v>
      </c>
      <c r="H239">
        <f t="shared" si="19"/>
        <v>238</v>
      </c>
      <c r="I239">
        <f t="shared" si="20"/>
        <v>281</v>
      </c>
      <c r="J239" t="str">
        <f t="shared" si="21"/>
        <v>ΠΕΛΟΠΟΝΝΗΣΟΥ</v>
      </c>
      <c r="K239" t="str">
        <f t="shared" si="22"/>
        <v>ΕΛΑΦΟΝΗΣΟΥ</v>
      </c>
      <c r="L239" s="170" t="s">
        <v>420</v>
      </c>
      <c r="M239" t="str">
        <f t="shared" si="18"/>
        <v/>
      </c>
      <c r="N239"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v>
      </c>
    </row>
    <row r="240" spans="1:14" x14ac:dyDescent="0.25">
      <c r="A240">
        <v>239</v>
      </c>
      <c r="B240" t="s">
        <v>411</v>
      </c>
      <c r="C240" t="s">
        <v>279</v>
      </c>
      <c r="D240" t="s">
        <v>279</v>
      </c>
      <c r="E240" s="204" t="s">
        <v>813</v>
      </c>
      <c r="F240" s="204">
        <v>14532</v>
      </c>
      <c r="G240" t="str">
        <f>LOOKUP(B240,ΠΕΡΙΦΕΡΕΙΑ!$A$2:$A$14,ΠΕΡΙΦΕΡΕΙΑ!$B$2:$B$14)</f>
        <v>Μερική</v>
      </c>
      <c r="H240">
        <f t="shared" si="19"/>
        <v>239</v>
      </c>
      <c r="I240">
        <f t="shared" si="20"/>
        <v>282</v>
      </c>
      <c r="J240" t="str">
        <f t="shared" si="21"/>
        <v>ΠΕΛΟΠΟΝΝΗΣΟΥ</v>
      </c>
      <c r="K240" t="str">
        <f t="shared" si="22"/>
        <v>ΕΠΙΔΑΥΡΟΥ</v>
      </c>
      <c r="L240" s="170" t="s">
        <v>420</v>
      </c>
      <c r="M240" t="str">
        <f t="shared" si="18"/>
        <v/>
      </c>
      <c r="N240"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v>
      </c>
    </row>
    <row r="241" spans="1:14" x14ac:dyDescent="0.25">
      <c r="A241">
        <v>240</v>
      </c>
      <c r="B241" t="s">
        <v>411</v>
      </c>
      <c r="C241" t="s">
        <v>79</v>
      </c>
      <c r="D241" t="s">
        <v>263</v>
      </c>
      <c r="E241" s="204" t="s">
        <v>814</v>
      </c>
      <c r="F241" s="204">
        <v>14540</v>
      </c>
      <c r="G241" t="str">
        <f>LOOKUP(B241,ΠΕΡΙΦΕΡΕΙΑ!$A$2:$A$14,ΠΕΡΙΦΕΡΕΙΑ!$B$2:$B$14)</f>
        <v>Μερική</v>
      </c>
      <c r="H241">
        <f t="shared" si="19"/>
        <v>240</v>
      </c>
      <c r="I241">
        <f t="shared" si="20"/>
        <v>283</v>
      </c>
      <c r="J241" t="str">
        <f t="shared" si="21"/>
        <v>ΠΕΛΟΠΟΝΝΗΣΟΥ</v>
      </c>
      <c r="K241" t="str">
        <f t="shared" si="22"/>
        <v>ΕΡΜΙΟΝΙΔΑΣ</v>
      </c>
      <c r="L241" s="170" t="s">
        <v>420</v>
      </c>
      <c r="M241" t="str">
        <f t="shared" si="18"/>
        <v/>
      </c>
      <c r="N241"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v>
      </c>
    </row>
    <row r="242" spans="1:14" x14ac:dyDescent="0.25">
      <c r="A242">
        <v>241</v>
      </c>
      <c r="B242" t="s">
        <v>412</v>
      </c>
      <c r="C242" t="s">
        <v>390</v>
      </c>
      <c r="D242" t="s">
        <v>286</v>
      </c>
      <c r="E242" s="204" t="s">
        <v>815</v>
      </c>
      <c r="F242" s="204">
        <v>13936</v>
      </c>
      <c r="G242" t="str">
        <f>LOOKUP(B242,ΠΕΡΙΦΕΡΕΙΑ!$A$2:$A$14,ΠΕΡΙΦΕΡΕΙΑ!$B$2:$B$14)</f>
        <v>Καθόλου</v>
      </c>
      <c r="H242" t="str">
        <f t="shared" si="19"/>
        <v/>
      </c>
      <c r="I242">
        <f t="shared" si="20"/>
        <v>284</v>
      </c>
      <c r="J242" t="str">
        <f t="shared" si="21"/>
        <v>ΠΕΛΟΠΟΝΝΗΣΟΥ</v>
      </c>
      <c r="K242" t="str">
        <f t="shared" si="22"/>
        <v>ΕΥΡΩΤΑ</v>
      </c>
      <c r="L242" s="170" t="s">
        <v>420</v>
      </c>
      <c r="M242" t="str">
        <f t="shared" si="18"/>
        <v/>
      </c>
      <c r="N242"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v>
      </c>
    </row>
    <row r="243" spans="1:14" x14ac:dyDescent="0.25">
      <c r="A243">
        <v>242</v>
      </c>
      <c r="B243" t="s">
        <v>412</v>
      </c>
      <c r="C243" t="s">
        <v>392</v>
      </c>
      <c r="D243" t="s">
        <v>303</v>
      </c>
      <c r="E243" s="204" t="s">
        <v>816</v>
      </c>
      <c r="F243" s="204">
        <v>13966</v>
      </c>
      <c r="G243" t="str">
        <f>LOOKUP(B243,ΠΕΡΙΦΕΡΕΙΑ!$A$2:$A$14,ΠΕΡΙΦΕΡΕΙΑ!$B$2:$B$14)</f>
        <v>Καθόλου</v>
      </c>
      <c r="H243" t="str">
        <f t="shared" si="19"/>
        <v/>
      </c>
      <c r="I243">
        <f t="shared" si="20"/>
        <v>285</v>
      </c>
      <c r="J243" t="str">
        <f t="shared" si="21"/>
        <v>ΠΕΛΟΠΟΝΝΗΣΟΥ</v>
      </c>
      <c r="K243" t="str">
        <f t="shared" si="22"/>
        <v>ΚΑΛΑΜΑΤΑΣ</v>
      </c>
      <c r="L243" s="170" t="s">
        <v>419</v>
      </c>
      <c r="M243" t="str">
        <f t="shared" si="18"/>
        <v xml:space="preserve">ΠΕΛΟΠΟΝΝΗΣΟΥ - ΚΑΛΑΜΑΤΑΣ, </v>
      </c>
      <c r="N243"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v>
      </c>
    </row>
    <row r="244" spans="1:14" x14ac:dyDescent="0.25">
      <c r="A244">
        <v>243</v>
      </c>
      <c r="B244" t="s">
        <v>412</v>
      </c>
      <c r="C244" t="s">
        <v>282</v>
      </c>
      <c r="D244" t="s">
        <v>281</v>
      </c>
      <c r="E244" s="204" t="s">
        <v>817</v>
      </c>
      <c r="F244" s="204">
        <v>13978</v>
      </c>
      <c r="G244" t="str">
        <f>LOOKUP(B244,ΠΕΡΙΦΕΡΕΙΑ!$A$2:$A$14,ΠΕΡΙΦΕΡΕΙΑ!$B$2:$B$14)</f>
        <v>Καθόλου</v>
      </c>
      <c r="H244" t="str">
        <f t="shared" si="19"/>
        <v/>
      </c>
      <c r="I244">
        <f t="shared" si="20"/>
        <v>286</v>
      </c>
      <c r="J244" t="str">
        <f t="shared" si="21"/>
        <v>ΠΕΛΟΠΟΝΝΗΣΟΥ</v>
      </c>
      <c r="K244" t="str">
        <f t="shared" si="22"/>
        <v>ΚΟΡΙΝΘΙΩΝ</v>
      </c>
      <c r="L244" s="170" t="s">
        <v>419</v>
      </c>
      <c r="M244" t="str">
        <f t="shared" si="18"/>
        <v xml:space="preserve">ΠΕΛΟΠΟΝΝΗΣΟΥ - ΚΟΡΙΝΘΙΩΝ, </v>
      </c>
      <c r="N244"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v>
      </c>
    </row>
    <row r="245" spans="1:14" x14ac:dyDescent="0.25">
      <c r="A245">
        <v>244</v>
      </c>
      <c r="B245" t="s">
        <v>412</v>
      </c>
      <c r="C245" t="s">
        <v>280</v>
      </c>
      <c r="D245" t="s">
        <v>280</v>
      </c>
      <c r="E245" s="204" t="s">
        <v>818</v>
      </c>
      <c r="F245" s="204">
        <v>13988</v>
      </c>
      <c r="G245" t="str">
        <f>LOOKUP(B245,ΠΕΡΙΦΕΡΕΙΑ!$A$2:$A$14,ΠΕΡΙΦΕΡΕΙΑ!$B$2:$B$14)</f>
        <v>Καθόλου</v>
      </c>
      <c r="H245" t="str">
        <f t="shared" si="19"/>
        <v/>
      </c>
      <c r="I245">
        <f t="shared" si="20"/>
        <v>287</v>
      </c>
      <c r="J245" t="str">
        <f t="shared" si="21"/>
        <v>ΠΕΛΟΠΟΝΝΗΣΟΥ</v>
      </c>
      <c r="K245" t="str">
        <f t="shared" si="22"/>
        <v>ΛΟΥΤΡΑΚΙΟΥ – ΑΓΙΩΝ ΘΕΟΔΩΡΩΝ</v>
      </c>
      <c r="L245" s="170" t="s">
        <v>419</v>
      </c>
      <c r="M245" t="str">
        <f t="shared" si="18"/>
        <v xml:space="preserve">ΠΕΛΟΠΟΝΝΗΣΟΥ - ΛΟΥΤΡΑΚΙΟΥ – ΑΓΙΩΝ ΘΕΟΔΩΡΩΝ, </v>
      </c>
      <c r="N245"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v>
      </c>
    </row>
    <row r="246" spans="1:14" x14ac:dyDescent="0.25">
      <c r="A246">
        <v>245</v>
      </c>
      <c r="B246" t="s">
        <v>412</v>
      </c>
      <c r="C246" t="s">
        <v>306</v>
      </c>
      <c r="D246" t="s">
        <v>305</v>
      </c>
      <c r="E246" s="204" t="s">
        <v>819</v>
      </c>
      <c r="F246" s="204">
        <v>13986</v>
      </c>
      <c r="G246" t="str">
        <f>LOOKUP(B246,ΠΕΡΙΦΕΡΕΙΑ!$A$2:$A$14,ΠΕΡΙΦΕΡΕΙΑ!$B$2:$B$14)</f>
        <v>Καθόλου</v>
      </c>
      <c r="H246" t="str">
        <f t="shared" si="19"/>
        <v/>
      </c>
      <c r="I246">
        <f t="shared" si="20"/>
        <v>288</v>
      </c>
      <c r="J246" t="str">
        <f t="shared" si="21"/>
        <v>ΠΕΛΟΠΟΝΝΗΣΟΥ</v>
      </c>
      <c r="K246" t="str">
        <f t="shared" si="22"/>
        <v>ΜΕΓΑΛΟΠΟΛΗΣ</v>
      </c>
      <c r="L246" s="170" t="s">
        <v>420</v>
      </c>
      <c r="M246" t="str">
        <f t="shared" si="18"/>
        <v/>
      </c>
      <c r="N246"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v>
      </c>
    </row>
    <row r="247" spans="1:14" x14ac:dyDescent="0.25">
      <c r="A247">
        <v>246</v>
      </c>
      <c r="B247" t="s">
        <v>412</v>
      </c>
      <c r="C247" t="s">
        <v>390</v>
      </c>
      <c r="D247" t="s">
        <v>287</v>
      </c>
      <c r="E247" s="204" t="s">
        <v>820</v>
      </c>
      <c r="F247" s="204">
        <v>14006</v>
      </c>
      <c r="G247" t="str">
        <f>LOOKUP(B247,ΠΕΡΙΦΕΡΕΙΑ!$A$2:$A$14,ΠΕΡΙΦΕΡΕΙΑ!$B$2:$B$14)</f>
        <v>Καθόλου</v>
      </c>
      <c r="H247" t="str">
        <f t="shared" si="19"/>
        <v/>
      </c>
      <c r="I247">
        <f t="shared" si="20"/>
        <v>289</v>
      </c>
      <c r="J247" t="str">
        <f t="shared" si="21"/>
        <v>ΠΕΛΟΠΟΝΝΗΣΟΥ</v>
      </c>
      <c r="K247" t="str">
        <f t="shared" si="22"/>
        <v>ΜΕΣΣΗΝΗΣ</v>
      </c>
      <c r="L247" s="170" t="s">
        <v>420</v>
      </c>
      <c r="M247" t="str">
        <f t="shared" si="18"/>
        <v/>
      </c>
      <c r="N247"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v>
      </c>
    </row>
    <row r="248" spans="1:14" x14ac:dyDescent="0.25">
      <c r="A248">
        <v>247</v>
      </c>
      <c r="B248" t="s">
        <v>412</v>
      </c>
      <c r="C248" t="s">
        <v>282</v>
      </c>
      <c r="D248" t="s">
        <v>282</v>
      </c>
      <c r="E248" s="204" t="s">
        <v>821</v>
      </c>
      <c r="F248" s="204">
        <v>14138</v>
      </c>
      <c r="G248" t="str">
        <f>LOOKUP(B248,ΠΕΡΙΦΕΡΕΙΑ!$A$2:$A$14,ΠΕΡΙΦΕΡΕΙΑ!$B$2:$B$14)</f>
        <v>Καθόλου</v>
      </c>
      <c r="H248" t="str">
        <f t="shared" si="19"/>
        <v/>
      </c>
      <c r="I248">
        <f t="shared" si="20"/>
        <v>290</v>
      </c>
      <c r="J248" t="str">
        <f t="shared" si="21"/>
        <v>ΠΕΛΟΠΟΝΝΗΣΟΥ</v>
      </c>
      <c r="K248" t="str">
        <f t="shared" si="22"/>
        <v>ΜΟΝΕΜΒΑΣΙΑΣ</v>
      </c>
      <c r="L248" s="170" t="s">
        <v>420</v>
      </c>
      <c r="M248" t="str">
        <f t="shared" si="18"/>
        <v/>
      </c>
      <c r="N248"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v>
      </c>
    </row>
    <row r="249" spans="1:14" x14ac:dyDescent="0.25">
      <c r="A249">
        <v>248</v>
      </c>
      <c r="B249" t="s">
        <v>412</v>
      </c>
      <c r="C249" t="s">
        <v>282</v>
      </c>
      <c r="D249" t="s">
        <v>283</v>
      </c>
      <c r="E249" s="204" t="s">
        <v>822</v>
      </c>
      <c r="F249" s="204">
        <v>14144</v>
      </c>
      <c r="G249" t="str">
        <f>LOOKUP(B249,ΠΕΡΙΦΕΡΕΙΑ!$A$2:$A$14,ΠΕΡΙΦΕΡΕΙΑ!$B$2:$B$14)</f>
        <v>Καθόλου</v>
      </c>
      <c r="H249" t="str">
        <f t="shared" si="19"/>
        <v/>
      </c>
      <c r="I249">
        <f t="shared" si="20"/>
        <v>291</v>
      </c>
      <c r="J249" t="str">
        <f t="shared" si="21"/>
        <v>ΠΕΛΟΠΟΝΝΗΣΟΥ</v>
      </c>
      <c r="K249" t="str">
        <f t="shared" si="22"/>
        <v>ΝΑΥΠΛΙΕΩΝ</v>
      </c>
      <c r="L249" s="170" t="s">
        <v>419</v>
      </c>
      <c r="M249" t="str">
        <f t="shared" si="18"/>
        <v xml:space="preserve">ΠΕΛΟΠΟΝΝΗΣΟΥ - ΝΑΥΠΛΙΕΩΝ, </v>
      </c>
      <c r="N249"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v>
      </c>
    </row>
    <row r="250" spans="1:14" x14ac:dyDescent="0.25">
      <c r="A250">
        <v>249</v>
      </c>
      <c r="B250" t="s">
        <v>412</v>
      </c>
      <c r="C250" t="s">
        <v>390</v>
      </c>
      <c r="D250" t="s">
        <v>288</v>
      </c>
      <c r="E250" s="204" t="s">
        <v>823</v>
      </c>
      <c r="F250" s="204">
        <v>14184</v>
      </c>
      <c r="G250" t="str">
        <f>LOOKUP(B250,ΠΕΡΙΦΕΡΕΙΑ!$A$2:$A$14,ΠΕΡΙΦΕΡΕΙΑ!$B$2:$B$14)</f>
        <v>Καθόλου</v>
      </c>
      <c r="H250" t="str">
        <f t="shared" si="19"/>
        <v/>
      </c>
      <c r="I250">
        <f t="shared" si="20"/>
        <v>292</v>
      </c>
      <c r="J250" t="str">
        <f t="shared" si="21"/>
        <v>ΠΕΛΟΠΟΝΝΗΣΟΥ</v>
      </c>
      <c r="K250" t="str">
        <f t="shared" si="22"/>
        <v>ΝΕΜΕΑΣ</v>
      </c>
      <c r="L250" s="170" t="s">
        <v>420</v>
      </c>
      <c r="M250" t="str">
        <f t="shared" si="18"/>
        <v/>
      </c>
      <c r="N250"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v>
      </c>
    </row>
    <row r="251" spans="1:14" x14ac:dyDescent="0.25">
      <c r="A251">
        <v>250</v>
      </c>
      <c r="B251" t="s">
        <v>412</v>
      </c>
      <c r="C251" t="s">
        <v>292</v>
      </c>
      <c r="D251" t="s">
        <v>292</v>
      </c>
      <c r="E251" s="204" t="s">
        <v>824</v>
      </c>
      <c r="F251" s="204">
        <v>14190</v>
      </c>
      <c r="G251" t="str">
        <f>LOOKUP(B251,ΠΕΡΙΦΕΡΕΙΑ!$A$2:$A$14,ΠΕΡΙΦΕΡΕΙΑ!$B$2:$B$14)</f>
        <v>Καθόλου</v>
      </c>
      <c r="H251" t="str">
        <f t="shared" si="19"/>
        <v/>
      </c>
      <c r="I251">
        <f t="shared" si="20"/>
        <v>293</v>
      </c>
      <c r="J251" t="str">
        <f t="shared" si="21"/>
        <v>ΠΕΛΟΠΟΝΝΗΣΟΥ</v>
      </c>
      <c r="K251" t="str">
        <f t="shared" si="22"/>
        <v>ΝΟΤΙΑΣ ΚΥΝΟΥΡΙΑΣ</v>
      </c>
      <c r="L251" s="170" t="s">
        <v>420</v>
      </c>
      <c r="M251" t="str">
        <f t="shared" si="18"/>
        <v/>
      </c>
      <c r="N251"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v>
      </c>
    </row>
    <row r="252" spans="1:14" x14ac:dyDescent="0.25">
      <c r="A252">
        <v>251</v>
      </c>
      <c r="B252" t="s">
        <v>412</v>
      </c>
      <c r="C252" t="s">
        <v>292</v>
      </c>
      <c r="D252" t="s">
        <v>293</v>
      </c>
      <c r="E252" s="204" t="s">
        <v>825</v>
      </c>
      <c r="F252" s="204">
        <v>14198</v>
      </c>
      <c r="G252" t="str">
        <f>LOOKUP(B252,ΠΕΡΙΦΕΡΕΙΑ!$A$2:$A$14,ΠΕΡΙΦΕΡΕΙΑ!$B$2:$B$14)</f>
        <v>Καθόλου</v>
      </c>
      <c r="H252" t="str">
        <f t="shared" si="19"/>
        <v/>
      </c>
      <c r="I252">
        <f t="shared" si="20"/>
        <v>294</v>
      </c>
      <c r="J252" t="str">
        <f t="shared" si="21"/>
        <v>ΠΕΛΟΠΟΝΝΗΣΟΥ</v>
      </c>
      <c r="K252" t="str">
        <f t="shared" si="22"/>
        <v>ΞΥΛΟΚΑΣΤΡΟΥ – ΕΥΡΩΣΤΙΝΗΣ</v>
      </c>
      <c r="L252" s="170" t="s">
        <v>419</v>
      </c>
      <c r="M252" t="str">
        <f t="shared" si="18"/>
        <v xml:space="preserve">ΠΕΛΟΠΟΝΝΗΣΟΥ - ΞΥΛΟΚΑΣΤΡΟΥ – ΕΥΡΩΣΤΙΝΗΣ, </v>
      </c>
      <c r="N252"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v>
      </c>
    </row>
    <row r="253" spans="1:14" x14ac:dyDescent="0.25">
      <c r="A253">
        <v>252</v>
      </c>
      <c r="B253" t="s">
        <v>412</v>
      </c>
      <c r="C253" t="s">
        <v>391</v>
      </c>
      <c r="D253" t="s">
        <v>294</v>
      </c>
      <c r="E253" s="204" t="s">
        <v>826</v>
      </c>
      <c r="F253" s="204">
        <v>14204</v>
      </c>
      <c r="G253" t="str">
        <f>LOOKUP(B253,ΠΕΡΙΦΕΡΕΙΑ!$A$2:$A$14,ΠΕΡΙΦΕΡΕΙΑ!$B$2:$B$14)</f>
        <v>Καθόλου</v>
      </c>
      <c r="H253" t="str">
        <f t="shared" si="19"/>
        <v/>
      </c>
      <c r="I253">
        <f t="shared" si="20"/>
        <v>295</v>
      </c>
      <c r="J253" t="str">
        <f t="shared" si="21"/>
        <v>ΠΕΛΟΠΟΝΝΗΣΟΥ</v>
      </c>
      <c r="K253" t="str">
        <f t="shared" si="22"/>
        <v>ΟΙΧΑΛΙΑΣ</v>
      </c>
      <c r="L253" s="170" t="s">
        <v>420</v>
      </c>
      <c r="M253" t="str">
        <f t="shared" si="18"/>
        <v/>
      </c>
      <c r="N253"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v>
      </c>
    </row>
    <row r="254" spans="1:14" x14ac:dyDescent="0.25">
      <c r="A254">
        <v>253</v>
      </c>
      <c r="B254" t="s">
        <v>412</v>
      </c>
      <c r="C254" t="s">
        <v>299</v>
      </c>
      <c r="D254" t="s">
        <v>298</v>
      </c>
      <c r="E254" s="204" t="s">
        <v>827</v>
      </c>
      <c r="F254" s="204">
        <v>14214</v>
      </c>
      <c r="G254" t="str">
        <f>LOOKUP(B254,ΠΕΡΙΦΕΡΕΙΑ!$A$2:$A$14,ΠΕΡΙΦΕΡΕΙΑ!$B$2:$B$14)</f>
        <v>Καθόλου</v>
      </c>
      <c r="H254" t="str">
        <f t="shared" si="19"/>
        <v/>
      </c>
      <c r="I254">
        <f t="shared" si="20"/>
        <v>296</v>
      </c>
      <c r="J254" t="str">
        <f t="shared" si="21"/>
        <v>ΠΕΛΟΠΟΝΝΗΣΟΥ</v>
      </c>
      <c r="K254" t="str">
        <f t="shared" si="22"/>
        <v>ΠΥΛΟΥ – ΝΕΣΤΟΡΟΣ</v>
      </c>
      <c r="L254" s="170" t="s">
        <v>420</v>
      </c>
      <c r="M254" t="str">
        <f t="shared" si="18"/>
        <v/>
      </c>
      <c r="N254"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v>
      </c>
    </row>
    <row r="255" spans="1:14" x14ac:dyDescent="0.25">
      <c r="A255">
        <v>254</v>
      </c>
      <c r="B255" t="s">
        <v>412</v>
      </c>
      <c r="C255" t="s">
        <v>391</v>
      </c>
      <c r="D255" t="s">
        <v>295</v>
      </c>
      <c r="E255" s="204" t="s">
        <v>828</v>
      </c>
      <c r="F255" s="204">
        <v>14232</v>
      </c>
      <c r="G255" t="str">
        <f>LOOKUP(B255,ΠΕΡΙΦΕΡΕΙΑ!$A$2:$A$14,ΠΕΡΙΦΕΡΕΙΑ!$B$2:$B$14)</f>
        <v>Καθόλου</v>
      </c>
      <c r="H255" t="str">
        <f t="shared" si="19"/>
        <v/>
      </c>
      <c r="I255">
        <f t="shared" si="20"/>
        <v>297</v>
      </c>
      <c r="J255" t="str">
        <f t="shared" si="21"/>
        <v>ΠΕΛΟΠΟΝΝΗΣΟΥ</v>
      </c>
      <c r="K255" t="str">
        <f t="shared" si="22"/>
        <v>ΣΙΚΥΩΝΙΩΝ</v>
      </c>
      <c r="L255" s="170" t="s">
        <v>419</v>
      </c>
      <c r="M255" t="str">
        <f t="shared" si="18"/>
        <v xml:space="preserve">ΠΕΛΟΠΟΝΝΗΣΟΥ - ΣΙΚΥΩΝΙΩΝ, </v>
      </c>
      <c r="N255"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v>
      </c>
    </row>
    <row r="256" spans="1:14" x14ac:dyDescent="0.25">
      <c r="A256">
        <v>255</v>
      </c>
      <c r="B256" t="s">
        <v>412</v>
      </c>
      <c r="C256" t="s">
        <v>296</v>
      </c>
      <c r="D256" t="s">
        <v>296</v>
      </c>
      <c r="E256" s="204" t="s">
        <v>829</v>
      </c>
      <c r="F256" s="204">
        <v>14170</v>
      </c>
      <c r="G256" t="str">
        <f>LOOKUP(B256,ΠΕΡΙΦΕΡΕΙΑ!$A$2:$A$14,ΠΕΡΙΦΕΡΕΙΑ!$B$2:$B$14)</f>
        <v>Καθόλου</v>
      </c>
      <c r="H256" t="str">
        <f t="shared" si="19"/>
        <v/>
      </c>
      <c r="I256">
        <f t="shared" si="20"/>
        <v>298</v>
      </c>
      <c r="J256" t="str">
        <f t="shared" si="21"/>
        <v>ΠΕΛΟΠΟΝΝΗΣΟΥ</v>
      </c>
      <c r="K256" t="str">
        <f t="shared" si="22"/>
        <v>ΣΠΑΡΤΗΣ</v>
      </c>
      <c r="L256" s="170" t="s">
        <v>419</v>
      </c>
      <c r="M256" t="str">
        <f t="shared" si="18"/>
        <v xml:space="preserve">ΠΕΛΟΠΟΝΝΗΣΟΥ - ΣΠΑΡΤΗΣ, </v>
      </c>
      <c r="N256"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v>
      </c>
    </row>
    <row r="257" spans="1:14" x14ac:dyDescent="0.25">
      <c r="A257">
        <v>256</v>
      </c>
      <c r="B257" t="s">
        <v>412</v>
      </c>
      <c r="C257" t="s">
        <v>390</v>
      </c>
      <c r="D257" t="s">
        <v>289</v>
      </c>
      <c r="E257" s="204" t="s">
        <v>830</v>
      </c>
      <c r="F257" s="204">
        <v>14252</v>
      </c>
      <c r="G257" t="str">
        <f>LOOKUP(B257,ΠΕΡΙΦΕΡΕΙΑ!$A$2:$A$14,ΠΕΡΙΦΕΡΕΙΑ!$B$2:$B$14)</f>
        <v>Καθόλου</v>
      </c>
      <c r="H257" t="str">
        <f t="shared" si="19"/>
        <v/>
      </c>
      <c r="I257">
        <f t="shared" si="20"/>
        <v>299</v>
      </c>
      <c r="J257" t="str">
        <f t="shared" si="21"/>
        <v>ΠΕΛΟΠΟΝΝΗΣΟΥ</v>
      </c>
      <c r="K257" t="str">
        <f t="shared" si="22"/>
        <v>ΤΡΙΠΟΛΗΣ</v>
      </c>
      <c r="L257" s="170" t="s">
        <v>419</v>
      </c>
      <c r="M257" t="str">
        <f t="shared" si="18"/>
        <v xml:space="preserve">ΠΕΛΟΠΟΝΝΗΣΟΥ - ΤΡΙΠΟΛΗΣ, </v>
      </c>
      <c r="N257"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v>
      </c>
    </row>
    <row r="258" spans="1:14" x14ac:dyDescent="0.25">
      <c r="A258">
        <v>257</v>
      </c>
      <c r="B258" t="s">
        <v>412</v>
      </c>
      <c r="C258" t="s">
        <v>390</v>
      </c>
      <c r="D258" t="s">
        <v>290</v>
      </c>
      <c r="E258" s="204" t="s">
        <v>831</v>
      </c>
      <c r="F258" s="204">
        <v>14254</v>
      </c>
      <c r="G258" t="str">
        <f>LOOKUP(B258,ΠΕΡΙΦΕΡΕΙΑ!$A$2:$A$14,ΠΕΡΙΦΕΡΕΙΑ!$B$2:$B$14)</f>
        <v>Καθόλου</v>
      </c>
      <c r="H258" t="str">
        <f t="shared" si="19"/>
        <v/>
      </c>
      <c r="I258">
        <f t="shared" si="20"/>
        <v>300</v>
      </c>
      <c r="J258" t="str">
        <f t="shared" si="21"/>
        <v>ΠΕΛΟΠΟΝΝΗΣΟΥ</v>
      </c>
      <c r="K258" t="str">
        <f t="shared" si="22"/>
        <v>ΤΡΙΦΥΛΙΑΣ</v>
      </c>
      <c r="L258" s="170" t="s">
        <v>420</v>
      </c>
      <c r="M258" t="str">
        <f t="shared" ref="M258:M321" si="24">IF(K258&lt;&gt;"",IF(L258="ΝΑΙ",J258&amp;" - "&amp;K258&amp;", ",""),"")</f>
        <v/>
      </c>
      <c r="N258"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v>
      </c>
    </row>
    <row r="259" spans="1:14" x14ac:dyDescent="0.25">
      <c r="A259">
        <v>258</v>
      </c>
      <c r="B259" t="s">
        <v>412</v>
      </c>
      <c r="C259" t="s">
        <v>308</v>
      </c>
      <c r="D259" t="s">
        <v>307</v>
      </c>
      <c r="E259" s="204" t="s">
        <v>832</v>
      </c>
      <c r="F259" s="204">
        <v>14290</v>
      </c>
      <c r="G259" t="str">
        <f>LOOKUP(B259,ΠΕΡΙΦΕΡΕΙΑ!$A$2:$A$14,ΠΕΡΙΦΕΡΕΙΑ!$B$2:$B$14)</f>
        <v>Καθόλου</v>
      </c>
      <c r="H259" t="str">
        <f t="shared" ref="H259:H322" si="25">IF(G259="Μερική",A259,"")</f>
        <v/>
      </c>
      <c r="I259">
        <f t="shared" ref="I259:I322" si="26">SMALL(H:H,A259)</f>
        <v>301</v>
      </c>
      <c r="J259" t="str">
        <f t="shared" ref="J259:J322" si="27">IF(ISNUMBER(I259),LOOKUP(I259,A:A,B:B),"")</f>
        <v>ΣΤΕΡΕΑΣ ΕΛΛΑΔΑΣ</v>
      </c>
      <c r="K259" t="str">
        <f t="shared" ref="K259:K322" si="28">IF(ISNUMBER(I259),LOOKUP(I259,A:A,D:D),"")</f>
        <v>ΑΓΡΑΦΩΝ</v>
      </c>
      <c r="L259" s="170" t="s">
        <v>420</v>
      </c>
      <c r="M259" t="str">
        <f t="shared" si="24"/>
        <v/>
      </c>
      <c r="N259" t="str">
        <f t="shared" si="23"/>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v>
      </c>
    </row>
    <row r="260" spans="1:14" x14ac:dyDescent="0.25">
      <c r="A260">
        <v>259</v>
      </c>
      <c r="B260" t="s">
        <v>412</v>
      </c>
      <c r="C260" t="s">
        <v>299</v>
      </c>
      <c r="D260" t="s">
        <v>299</v>
      </c>
      <c r="E260" s="204" t="s">
        <v>833</v>
      </c>
      <c r="F260" s="204">
        <v>14296</v>
      </c>
      <c r="G260" t="str">
        <f>LOOKUP(B260,ΠΕΡΙΦΕΡΕΙΑ!$A$2:$A$14,ΠΕΡΙΦΕΡΕΙΑ!$B$2:$B$14)</f>
        <v>Καθόλου</v>
      </c>
      <c r="H260" t="str">
        <f t="shared" si="25"/>
        <v/>
      </c>
      <c r="I260">
        <f t="shared" si="26"/>
        <v>302</v>
      </c>
      <c r="J260" t="str">
        <f t="shared" si="27"/>
        <v>ΣΤΕΡΕΑΣ ΕΛΛΑΔΑΣ</v>
      </c>
      <c r="K260" t="str">
        <f t="shared" si="28"/>
        <v>ΑΛΙΑΡΤΟΥ</v>
      </c>
      <c r="L260" s="170" t="s">
        <v>420</v>
      </c>
      <c r="M260" t="str">
        <f t="shared" si="24"/>
        <v/>
      </c>
      <c r="N260" t="str">
        <f t="shared" ref="N260:N323" si="29">N259&amp;M260</f>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v>
      </c>
    </row>
    <row r="261" spans="1:14" x14ac:dyDescent="0.25">
      <c r="A261">
        <v>260</v>
      </c>
      <c r="B261" t="s">
        <v>412</v>
      </c>
      <c r="C261" t="s">
        <v>302</v>
      </c>
      <c r="D261" t="s">
        <v>302</v>
      </c>
      <c r="E261" s="204" t="s">
        <v>834</v>
      </c>
      <c r="F261" s="204">
        <v>14306</v>
      </c>
      <c r="G261" t="str">
        <f>LOOKUP(B261,ΠΕΡΙΦΕΡΕΙΑ!$A$2:$A$14,ΠΕΡΙΦΕΡΕΙΑ!$B$2:$B$14)</f>
        <v>Καθόλου</v>
      </c>
      <c r="H261" t="str">
        <f t="shared" si="25"/>
        <v/>
      </c>
      <c r="I261">
        <f t="shared" si="26"/>
        <v>303</v>
      </c>
      <c r="J261" t="str">
        <f t="shared" si="27"/>
        <v>ΣΤΕΡΕΑΣ ΕΛΛΑΔΑΣ</v>
      </c>
      <c r="K261" t="str">
        <f t="shared" si="28"/>
        <v>ΑΜΦΙΚΛΕΙΑΣ – ΕΛΑΤΕΙΑΣ</v>
      </c>
      <c r="L261" s="170" t="s">
        <v>420</v>
      </c>
      <c r="M261" t="str">
        <f t="shared" si="24"/>
        <v/>
      </c>
      <c r="N261"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v>
      </c>
    </row>
    <row r="262" spans="1:14" x14ac:dyDescent="0.25">
      <c r="A262">
        <v>261</v>
      </c>
      <c r="B262" t="s">
        <v>412</v>
      </c>
      <c r="C262" t="s">
        <v>392</v>
      </c>
      <c r="D262" t="s">
        <v>304</v>
      </c>
      <c r="E262" s="204" t="s">
        <v>835</v>
      </c>
      <c r="F262" s="204">
        <v>14310</v>
      </c>
      <c r="G262" t="str">
        <f>LOOKUP(B262,ΠΕΡΙΦΕΡΕΙΑ!$A$2:$A$14,ΠΕΡΙΦΕΡΕΙΑ!$B$2:$B$14)</f>
        <v>Καθόλου</v>
      </c>
      <c r="H262" t="str">
        <f t="shared" si="25"/>
        <v/>
      </c>
      <c r="I262">
        <f t="shared" si="26"/>
        <v>304</v>
      </c>
      <c r="J262" t="str">
        <f t="shared" si="27"/>
        <v>ΣΤΕΡΕΑΣ ΕΛΛΑΔΑΣ</v>
      </c>
      <c r="K262" t="str">
        <f t="shared" si="28"/>
        <v>ΔΕΛΦΩΝ</v>
      </c>
      <c r="L262" s="170" t="s">
        <v>420</v>
      </c>
      <c r="M262" t="str">
        <f t="shared" si="24"/>
        <v/>
      </c>
      <c r="N262"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v>
      </c>
    </row>
    <row r="263" spans="1:14" x14ac:dyDescent="0.25">
      <c r="A263">
        <v>262</v>
      </c>
      <c r="B263" t="s">
        <v>412</v>
      </c>
      <c r="C263" t="s">
        <v>296</v>
      </c>
      <c r="D263" t="s">
        <v>297</v>
      </c>
      <c r="E263" s="204" t="s">
        <v>836</v>
      </c>
      <c r="F263" s="204">
        <v>14328</v>
      </c>
      <c r="G263" t="str">
        <f>LOOKUP(B263,ΠΕΡΙΦΕΡΕΙΑ!$A$2:$A$14,ΠΕΡΙΦΕΡΕΙΑ!$B$2:$B$14)</f>
        <v>Καθόλου</v>
      </c>
      <c r="H263" t="str">
        <f t="shared" si="25"/>
        <v/>
      </c>
      <c r="I263">
        <f t="shared" si="26"/>
        <v>305</v>
      </c>
      <c r="J263" t="str">
        <f t="shared" si="27"/>
        <v>ΣΤΕΡΕΑΣ ΕΛΛΑΔΑΣ</v>
      </c>
      <c r="K263" t="str">
        <f t="shared" si="28"/>
        <v>ΔΙΡΦΥΩΝ – ΜΕΣΣΑΠΙΩΝ</v>
      </c>
      <c r="L263" s="170" t="s">
        <v>420</v>
      </c>
      <c r="M263" t="str">
        <f t="shared" si="24"/>
        <v/>
      </c>
      <c r="N263"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v>
      </c>
    </row>
    <row r="264" spans="1:14" x14ac:dyDescent="0.25">
      <c r="A264">
        <v>263</v>
      </c>
      <c r="B264" t="s">
        <v>412</v>
      </c>
      <c r="C264" t="s">
        <v>306</v>
      </c>
      <c r="D264" t="s">
        <v>306</v>
      </c>
      <c r="E264" s="204" t="s">
        <v>837</v>
      </c>
      <c r="F264" s="204">
        <v>14400</v>
      </c>
      <c r="G264" t="str">
        <f>LOOKUP(B264,ΠΕΡΙΦΕΡΕΙΑ!$A$2:$A$14,ΠΕΡΙΦΕΡΕΙΑ!$B$2:$B$14)</f>
        <v>Καθόλου</v>
      </c>
      <c r="H264" t="str">
        <f t="shared" si="25"/>
        <v/>
      </c>
      <c r="I264">
        <f t="shared" si="26"/>
        <v>306</v>
      </c>
      <c r="J264" t="str">
        <f t="shared" si="27"/>
        <v>ΣΤΕΡΕΑΣ ΕΛΛΑΔΑΣ</v>
      </c>
      <c r="K264" t="str">
        <f t="shared" si="28"/>
        <v>ΔΙΣΤΟΜΟΥ – ΑΡΑΧΟΒΑΣ – ΑΝΤΙΚΥΡΑΣ</v>
      </c>
      <c r="L264" s="170" t="s">
        <v>420</v>
      </c>
      <c r="M264" t="str">
        <f t="shared" si="24"/>
        <v/>
      </c>
      <c r="N264"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v>
      </c>
    </row>
    <row r="265" spans="1:14" x14ac:dyDescent="0.25">
      <c r="A265">
        <v>264</v>
      </c>
      <c r="B265" t="s">
        <v>412</v>
      </c>
      <c r="C265" t="s">
        <v>390</v>
      </c>
      <c r="D265" t="s">
        <v>291</v>
      </c>
      <c r="E265" s="204" t="s">
        <v>838</v>
      </c>
      <c r="F265" s="204">
        <v>14364</v>
      </c>
      <c r="G265" t="str">
        <f>LOOKUP(B265,ΠΕΡΙΦΕΡΕΙΑ!$A$2:$A$14,ΠΕΡΙΦΕΡΕΙΑ!$B$2:$B$14)</f>
        <v>Καθόλου</v>
      </c>
      <c r="H265" t="str">
        <f t="shared" si="25"/>
        <v/>
      </c>
      <c r="I265">
        <f t="shared" si="26"/>
        <v>307</v>
      </c>
      <c r="J265" t="str">
        <f t="shared" si="27"/>
        <v>ΣΤΕΡΕΑΣ ΕΛΛΑΔΑΣ</v>
      </c>
      <c r="K265" t="str">
        <f t="shared" si="28"/>
        <v>ΔΟΜΟΚΟΥ</v>
      </c>
      <c r="L265" s="170" t="s">
        <v>420</v>
      </c>
      <c r="M265" t="str">
        <f t="shared" si="24"/>
        <v/>
      </c>
      <c r="N265"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v>
      </c>
    </row>
    <row r="266" spans="1:14" x14ac:dyDescent="0.25">
      <c r="A266">
        <v>265</v>
      </c>
      <c r="B266" t="s">
        <v>412</v>
      </c>
      <c r="C266" t="s">
        <v>308</v>
      </c>
      <c r="D266" t="s">
        <v>308</v>
      </c>
      <c r="E266" s="204" t="s">
        <v>839</v>
      </c>
      <c r="F266" s="204">
        <v>14436</v>
      </c>
      <c r="G266" t="str">
        <f>LOOKUP(B266,ΠΕΡΙΦΕΡΕΙΑ!$A$2:$A$14,ΠΕΡΙΦΕΡΕΙΑ!$B$2:$B$14)</f>
        <v>Καθόλου</v>
      </c>
      <c r="H266" t="str">
        <f t="shared" si="25"/>
        <v/>
      </c>
      <c r="I266">
        <f t="shared" si="26"/>
        <v>308</v>
      </c>
      <c r="J266" t="str">
        <f t="shared" si="27"/>
        <v>ΣΤΕΡΕΑΣ ΕΛΛΑΔΑΣ</v>
      </c>
      <c r="K266" t="str">
        <f t="shared" si="28"/>
        <v>ΔΩΡΙΔΟΣ</v>
      </c>
      <c r="L266" s="170" t="s">
        <v>420</v>
      </c>
      <c r="M266" t="str">
        <f t="shared" si="24"/>
        <v/>
      </c>
      <c r="N266"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v>
      </c>
    </row>
    <row r="267" spans="1:14" x14ac:dyDescent="0.25">
      <c r="A267">
        <v>266</v>
      </c>
      <c r="B267" t="s">
        <v>412</v>
      </c>
      <c r="C267" t="s">
        <v>299</v>
      </c>
      <c r="D267" t="s">
        <v>300</v>
      </c>
      <c r="E267" s="204" t="s">
        <v>840</v>
      </c>
      <c r="F267" s="204">
        <v>14450</v>
      </c>
      <c r="G267" t="str">
        <f>LOOKUP(B267,ΠΕΡΙΦΕΡΕΙΑ!$A$2:$A$14,ΠΕΡΙΦΕΡΕΙΑ!$B$2:$B$14)</f>
        <v>Καθόλου</v>
      </c>
      <c r="H267" t="str">
        <f t="shared" si="25"/>
        <v/>
      </c>
      <c r="I267">
        <f t="shared" si="26"/>
        <v>309</v>
      </c>
      <c r="J267" t="str">
        <f t="shared" si="27"/>
        <v>ΣΤΕΡΕΑΣ ΕΛΛΑΔΑΣ</v>
      </c>
      <c r="K267" t="str">
        <f t="shared" si="28"/>
        <v>ΕΡΕΤΡΙΑΣ</v>
      </c>
      <c r="L267" s="170" t="s">
        <v>420</v>
      </c>
      <c r="M267" t="str">
        <f t="shared" si="24"/>
        <v/>
      </c>
      <c r="N267"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v>
      </c>
    </row>
    <row r="268" spans="1:14" x14ac:dyDescent="0.25">
      <c r="A268">
        <v>267</v>
      </c>
      <c r="B268" t="s">
        <v>412</v>
      </c>
      <c r="C268" t="s">
        <v>282</v>
      </c>
      <c r="D268" t="s">
        <v>284</v>
      </c>
      <c r="E268" s="204" t="s">
        <v>841</v>
      </c>
      <c r="F268" s="204">
        <v>14458</v>
      </c>
      <c r="G268" t="str">
        <f>LOOKUP(B268,ΠΕΡΙΦΕΡΕΙΑ!$A$2:$A$14,ΠΕΡΙΦΕΡΕΙΑ!$B$2:$B$14)</f>
        <v>Καθόλου</v>
      </c>
      <c r="H268" t="str">
        <f t="shared" si="25"/>
        <v/>
      </c>
      <c r="I268">
        <f t="shared" si="26"/>
        <v>310</v>
      </c>
      <c r="J268" t="str">
        <f t="shared" si="27"/>
        <v>ΣΤΕΡΕΑΣ ΕΛΛΑΔΑΣ</v>
      </c>
      <c r="K268" t="str">
        <f t="shared" si="28"/>
        <v>ΘΗΒΑΙΩΝ</v>
      </c>
      <c r="L268" s="170" t="s">
        <v>420</v>
      </c>
      <c r="M268" t="str">
        <f t="shared" si="24"/>
        <v/>
      </c>
      <c r="N268"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v>
      </c>
    </row>
    <row r="269" spans="1:14" x14ac:dyDescent="0.25">
      <c r="A269">
        <v>268</v>
      </c>
      <c r="B269" t="s">
        <v>412</v>
      </c>
      <c r="C269" t="s">
        <v>299</v>
      </c>
      <c r="D269" t="s">
        <v>301</v>
      </c>
      <c r="E269" s="204" t="s">
        <v>842</v>
      </c>
      <c r="F269" s="204">
        <v>14464</v>
      </c>
      <c r="G269" t="str">
        <f>LOOKUP(B269,ΠΕΡΙΦΕΡΕΙΑ!$A$2:$A$14,ΠΕΡΙΦΕΡΕΙΑ!$B$2:$B$14)</f>
        <v>Καθόλου</v>
      </c>
      <c r="H269" t="str">
        <f t="shared" si="25"/>
        <v/>
      </c>
      <c r="I269">
        <f t="shared" si="26"/>
        <v>311</v>
      </c>
      <c r="J269" t="str">
        <f t="shared" si="27"/>
        <v>ΣΤΕΡΕΑΣ ΕΛΛΑΔΑΣ</v>
      </c>
      <c r="K269" t="str">
        <f t="shared" si="28"/>
        <v>ΙΣΤΙΑΙΑΣ – ΑΙΔΗΨΟΥ</v>
      </c>
      <c r="L269" s="170" t="s">
        <v>420</v>
      </c>
      <c r="M269" t="str">
        <f t="shared" si="24"/>
        <v/>
      </c>
      <c r="N269"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v>
      </c>
    </row>
    <row r="270" spans="1:14" x14ac:dyDescent="0.25">
      <c r="A270">
        <v>269</v>
      </c>
      <c r="B270" t="s">
        <v>412</v>
      </c>
      <c r="C270" t="s">
        <v>308</v>
      </c>
      <c r="D270" t="s">
        <v>309</v>
      </c>
      <c r="E270" s="204" t="s">
        <v>843</v>
      </c>
      <c r="F270" s="204">
        <v>14486</v>
      </c>
      <c r="G270" t="str">
        <f>LOOKUP(B270,ΠΕΡΙΦΕΡΕΙΑ!$A$2:$A$14,ΠΕΡΙΦΕΡΕΙΑ!$B$2:$B$14)</f>
        <v>Καθόλου</v>
      </c>
      <c r="H270" t="str">
        <f t="shared" si="25"/>
        <v/>
      </c>
      <c r="I270">
        <f t="shared" si="26"/>
        <v>312</v>
      </c>
      <c r="J270" t="str">
        <f t="shared" si="27"/>
        <v>ΣΤΕΡΕΑΣ ΕΛΛΑΔΑΣ</v>
      </c>
      <c r="K270" t="str">
        <f t="shared" si="28"/>
        <v>ΚΑΡΠΕΝΗΣΙΟΥ</v>
      </c>
      <c r="L270" s="170" t="s">
        <v>420</v>
      </c>
      <c r="M270" t="str">
        <f t="shared" si="24"/>
        <v/>
      </c>
      <c r="N270"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v>
      </c>
    </row>
    <row r="271" spans="1:14" x14ac:dyDescent="0.25">
      <c r="A271">
        <v>270</v>
      </c>
      <c r="B271" t="s">
        <v>412</v>
      </c>
      <c r="C271" t="s">
        <v>393</v>
      </c>
      <c r="D271" t="s">
        <v>312</v>
      </c>
      <c r="E271" s="204" t="s">
        <v>844</v>
      </c>
      <c r="F271" s="204">
        <v>14488</v>
      </c>
      <c r="G271" t="str">
        <f>LOOKUP(B271,ΠΕΡΙΦΕΡΕΙΑ!$A$2:$A$14,ΠΕΡΙΦΕΡΕΙΑ!$B$2:$B$14)</f>
        <v>Καθόλου</v>
      </c>
      <c r="H271" t="str">
        <f t="shared" si="25"/>
        <v/>
      </c>
      <c r="I271">
        <f t="shared" si="26"/>
        <v>313</v>
      </c>
      <c r="J271" t="str">
        <f t="shared" si="27"/>
        <v>ΣΤΕΡΕΑΣ ΕΛΛΑΔΑΣ</v>
      </c>
      <c r="K271" t="str">
        <f t="shared" si="28"/>
        <v>ΚΑΡΥΣΤΟΥ</v>
      </c>
      <c r="L271" s="170" t="s">
        <v>420</v>
      </c>
      <c r="M271" t="str">
        <f t="shared" si="24"/>
        <v/>
      </c>
      <c r="N271"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v>
      </c>
    </row>
    <row r="272" spans="1:14" x14ac:dyDescent="0.25">
      <c r="A272">
        <v>271</v>
      </c>
      <c r="B272" t="s">
        <v>412</v>
      </c>
      <c r="C272" t="s">
        <v>308</v>
      </c>
      <c r="D272" t="s">
        <v>310</v>
      </c>
      <c r="E272" s="204" t="s">
        <v>845</v>
      </c>
      <c r="F272" s="204">
        <v>14496</v>
      </c>
      <c r="G272" t="str">
        <f>LOOKUP(B272,ΠΕΡΙΦΕΡΕΙΑ!$A$2:$A$14,ΠΕΡΙΦΕΡΕΙΑ!$B$2:$B$14)</f>
        <v>Καθόλου</v>
      </c>
      <c r="H272" t="str">
        <f t="shared" si="25"/>
        <v/>
      </c>
      <c r="I272">
        <f t="shared" si="26"/>
        <v>314</v>
      </c>
      <c r="J272" t="str">
        <f t="shared" si="27"/>
        <v>ΣΤΕΡΕΑΣ ΕΛΛΑΔΑΣ</v>
      </c>
      <c r="K272" t="str">
        <f t="shared" si="28"/>
        <v>ΚΥΜΗΣ – ΑΛΙΒΕΡΙΟΥ</v>
      </c>
      <c r="L272" s="170" t="s">
        <v>420</v>
      </c>
      <c r="M272" t="str">
        <f t="shared" si="24"/>
        <v/>
      </c>
      <c r="N272"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v>
      </c>
    </row>
    <row r="273" spans="1:14" x14ac:dyDescent="0.25">
      <c r="A273">
        <v>272</v>
      </c>
      <c r="B273" t="s">
        <v>412</v>
      </c>
      <c r="C273" t="s">
        <v>313</v>
      </c>
      <c r="D273" t="s">
        <v>313</v>
      </c>
      <c r="E273" s="204" t="s">
        <v>846</v>
      </c>
      <c r="F273" s="204">
        <v>14498</v>
      </c>
      <c r="G273" t="str">
        <f>LOOKUP(B273,ΠΕΡΙΦΕΡΕΙΑ!$A$2:$A$14,ΠΕΡΙΦΕΡΕΙΑ!$B$2:$B$14)</f>
        <v>Καθόλου</v>
      </c>
      <c r="H273" t="str">
        <f t="shared" si="25"/>
        <v/>
      </c>
      <c r="I273">
        <f t="shared" si="26"/>
        <v>315</v>
      </c>
      <c r="J273" t="str">
        <f t="shared" si="27"/>
        <v>ΣΤΕΡΕΑΣ ΕΛΛΑΔΑΣ</v>
      </c>
      <c r="K273" t="str">
        <f t="shared" si="28"/>
        <v>ΛΑΜΙΕΩΝ</v>
      </c>
      <c r="L273" s="170" t="s">
        <v>419</v>
      </c>
      <c r="M273" t="str">
        <f t="shared" si="24"/>
        <v xml:space="preserve">ΣΤΕΡΕΑΣ ΕΛΛΑΔΑΣ - ΛΑΜΙΕΩΝ, </v>
      </c>
      <c r="N273"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v>
      </c>
    </row>
    <row r="274" spans="1:14" x14ac:dyDescent="0.25">
      <c r="A274">
        <v>273</v>
      </c>
      <c r="B274" t="s">
        <v>412</v>
      </c>
      <c r="C274" t="s">
        <v>282</v>
      </c>
      <c r="D274" t="s">
        <v>285</v>
      </c>
      <c r="E274" s="204" t="s">
        <v>847</v>
      </c>
      <c r="F274" s="204">
        <v>14522</v>
      </c>
      <c r="G274" t="str">
        <f>LOOKUP(B274,ΠΕΡΙΦΕΡΕΙΑ!$A$2:$A$14,ΠΕΡΙΦΕΡΕΙΑ!$B$2:$B$14)</f>
        <v>Καθόλου</v>
      </c>
      <c r="H274" t="str">
        <f t="shared" si="25"/>
        <v/>
      </c>
      <c r="I274">
        <f t="shared" si="26"/>
        <v>316</v>
      </c>
      <c r="J274" t="str">
        <f t="shared" si="27"/>
        <v>ΣΤΕΡΕΑΣ ΕΛΛΑΔΑΣ</v>
      </c>
      <c r="K274" t="str">
        <f t="shared" si="28"/>
        <v>ΛΕΒΑΔΕΩΝ</v>
      </c>
      <c r="L274" s="170" t="s">
        <v>420</v>
      </c>
      <c r="M274" t="str">
        <f t="shared" si="24"/>
        <v/>
      </c>
      <c r="N274"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v>
      </c>
    </row>
    <row r="275" spans="1:14" x14ac:dyDescent="0.25">
      <c r="A275">
        <v>274</v>
      </c>
      <c r="B275" t="s">
        <v>412</v>
      </c>
      <c r="C275" t="s">
        <v>308</v>
      </c>
      <c r="D275" t="s">
        <v>311</v>
      </c>
      <c r="E275" s="204" t="s">
        <v>848</v>
      </c>
      <c r="F275" s="204">
        <v>14536</v>
      </c>
      <c r="G275" t="str">
        <f>LOOKUP(B275,ΠΕΡΙΦΕΡΕΙΑ!$A$2:$A$14,ΠΕΡΙΦΕΡΕΙΑ!$B$2:$B$14)</f>
        <v>Καθόλου</v>
      </c>
      <c r="H275" t="str">
        <f t="shared" si="25"/>
        <v/>
      </c>
      <c r="I275">
        <f t="shared" si="26"/>
        <v>317</v>
      </c>
      <c r="J275" t="str">
        <f t="shared" si="27"/>
        <v>ΣΤΕΡΕΑΣ ΕΛΛΑΔΑΣ</v>
      </c>
      <c r="K275" t="str">
        <f t="shared" si="28"/>
        <v>ΛΟΚΡΩΝ</v>
      </c>
      <c r="L275" s="170" t="s">
        <v>420</v>
      </c>
      <c r="M275" t="str">
        <f t="shared" si="24"/>
        <v/>
      </c>
      <c r="N275"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v>
      </c>
    </row>
    <row r="276" spans="1:14" x14ac:dyDescent="0.25">
      <c r="A276">
        <v>275</v>
      </c>
      <c r="B276" t="s">
        <v>413</v>
      </c>
      <c r="C276" t="s">
        <v>397</v>
      </c>
      <c r="D276" t="s">
        <v>329</v>
      </c>
      <c r="E276" s="204" t="s">
        <v>849</v>
      </c>
      <c r="F276" s="204">
        <v>13980</v>
      </c>
      <c r="G276" t="str">
        <f>LOOKUP(B276,ΠΕΡΙΦΕΡΕΙΑ!$A$2:$A$14,ΠΕΡΙΦΕΡΕΙΑ!$B$2:$B$14)</f>
        <v>Μερική</v>
      </c>
      <c r="H276">
        <f t="shared" si="25"/>
        <v>275</v>
      </c>
      <c r="I276">
        <f t="shared" si="26"/>
        <v>318</v>
      </c>
      <c r="J276" t="str">
        <f t="shared" si="27"/>
        <v>ΣΤΕΡΕΑΣ ΕΛΛΑΔΑΣ</v>
      </c>
      <c r="K276" t="str">
        <f t="shared" si="28"/>
        <v>ΜΑΚΡΑΚΩΜΗΣ</v>
      </c>
      <c r="L276" s="170" t="s">
        <v>420</v>
      </c>
      <c r="M276" t="str">
        <f t="shared" si="24"/>
        <v/>
      </c>
      <c r="N276"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v>
      </c>
    </row>
    <row r="277" spans="1:14" x14ac:dyDescent="0.25">
      <c r="A277">
        <v>276</v>
      </c>
      <c r="B277" t="s">
        <v>413</v>
      </c>
      <c r="C277" t="s">
        <v>394</v>
      </c>
      <c r="D277" t="s">
        <v>314</v>
      </c>
      <c r="E277" s="204" t="s">
        <v>850</v>
      </c>
      <c r="F277" s="204">
        <v>13994</v>
      </c>
      <c r="G277" t="str">
        <f>LOOKUP(B277,ΠΕΡΙΦΕΡΕΙΑ!$A$2:$A$14,ΠΕΡΙΦΕΡΕΙΑ!$B$2:$B$14)</f>
        <v>Μερική</v>
      </c>
      <c r="H277">
        <f t="shared" si="25"/>
        <v>276</v>
      </c>
      <c r="I277">
        <f t="shared" si="26"/>
        <v>319</v>
      </c>
      <c r="J277" t="str">
        <f t="shared" si="27"/>
        <v>ΣΤΕΡΕΑΣ ΕΛΛΑΔΑΣ</v>
      </c>
      <c r="K277" t="str">
        <f t="shared" si="28"/>
        <v>ΜΑΝΤΟΥΔΙΟΥ – ΛΙΜΝΗΣ – ΑΓΙΑΣ ΑΝΝΑΣ</v>
      </c>
      <c r="L277" s="170" t="s">
        <v>420</v>
      </c>
      <c r="M277" t="str">
        <f t="shared" si="24"/>
        <v/>
      </c>
      <c r="N277"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v>
      </c>
    </row>
    <row r="278" spans="1:14" x14ac:dyDescent="0.25">
      <c r="A278">
        <v>277</v>
      </c>
      <c r="B278" t="s">
        <v>413</v>
      </c>
      <c r="C278" t="s">
        <v>396</v>
      </c>
      <c r="D278" t="s">
        <v>323</v>
      </c>
      <c r="E278" s="204" t="s">
        <v>851</v>
      </c>
      <c r="F278" s="204">
        <v>14012</v>
      </c>
      <c r="G278" t="str">
        <f>LOOKUP(B278,ΠΕΡΙΦΕΡΕΙΑ!$A$2:$A$14,ΠΕΡΙΦΕΡΕΙΑ!$B$2:$B$14)</f>
        <v>Μερική</v>
      </c>
      <c r="H278">
        <f t="shared" si="25"/>
        <v>277</v>
      </c>
      <c r="I278">
        <f t="shared" si="26"/>
        <v>320</v>
      </c>
      <c r="J278" t="str">
        <f t="shared" si="27"/>
        <v>ΣΤΕΡΕΑΣ ΕΛΛΑΔΑΣ</v>
      </c>
      <c r="K278" t="str">
        <f t="shared" si="28"/>
        <v>ΜΩΛΟΥ – ΑΓΙΟΥ ΚΩΝΣΤΑΝΤΙΝΟΥ</v>
      </c>
      <c r="L278" s="170" t="s">
        <v>420</v>
      </c>
      <c r="M278" t="str">
        <f t="shared" si="24"/>
        <v/>
      </c>
      <c r="N278"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v>
      </c>
    </row>
    <row r="279" spans="1:14" x14ac:dyDescent="0.25">
      <c r="A279">
        <v>278</v>
      </c>
      <c r="B279" t="s">
        <v>413</v>
      </c>
      <c r="C279" t="s">
        <v>395</v>
      </c>
      <c r="D279" t="s">
        <v>318</v>
      </c>
      <c r="E279" s="204" t="s">
        <v>852</v>
      </c>
      <c r="F279" s="204">
        <v>14020</v>
      </c>
      <c r="G279" t="str">
        <f>LOOKUP(B279,ΠΕΡΙΦΕΡΕΙΑ!$A$2:$A$14,ΠΕΡΙΦΕΡΕΙΑ!$B$2:$B$14)</f>
        <v>Μερική</v>
      </c>
      <c r="H279">
        <f t="shared" si="25"/>
        <v>278</v>
      </c>
      <c r="I279">
        <f t="shared" si="26"/>
        <v>321</v>
      </c>
      <c r="J279" t="str">
        <f t="shared" si="27"/>
        <v>ΣΤΕΡΕΑΣ ΕΛΛΑΔΑΣ</v>
      </c>
      <c r="K279" t="str">
        <f t="shared" si="28"/>
        <v>ΟΡΧΟΜΕΝΟΥ</v>
      </c>
      <c r="L279" s="170" t="s">
        <v>420</v>
      </c>
      <c r="M279" t="str">
        <f t="shared" si="24"/>
        <v/>
      </c>
      <c r="N279"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v>
      </c>
    </row>
    <row r="280" spans="1:14" x14ac:dyDescent="0.25">
      <c r="A280">
        <v>279</v>
      </c>
      <c r="B280" t="s">
        <v>413</v>
      </c>
      <c r="C280" t="s">
        <v>395</v>
      </c>
      <c r="D280" t="s">
        <v>319</v>
      </c>
      <c r="E280" s="204" t="s">
        <v>853</v>
      </c>
      <c r="F280" s="204">
        <v>14046</v>
      </c>
      <c r="G280" t="str">
        <f>LOOKUP(B280,ΠΕΡΙΦΕΡΕΙΑ!$A$2:$A$14,ΠΕΡΙΦΕΡΕΙΑ!$B$2:$B$14)</f>
        <v>Μερική</v>
      </c>
      <c r="H280">
        <f t="shared" si="25"/>
        <v>279</v>
      </c>
      <c r="I280">
        <f t="shared" si="26"/>
        <v>322</v>
      </c>
      <c r="J280" t="str">
        <f t="shared" si="27"/>
        <v>ΣΤΕΡΕΑΣ ΕΛΛΑΔΑΣ</v>
      </c>
      <c r="K280" t="str">
        <f t="shared" si="28"/>
        <v>ΣΚΥΡΟΥ</v>
      </c>
      <c r="L280" s="170" t="s">
        <v>420</v>
      </c>
      <c r="M280" t="str">
        <f t="shared" si="24"/>
        <v/>
      </c>
      <c r="N280"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v>
      </c>
    </row>
    <row r="281" spans="1:14" x14ac:dyDescent="0.25">
      <c r="A281">
        <v>280</v>
      </c>
      <c r="B281" t="s">
        <v>413</v>
      </c>
      <c r="C281" t="s">
        <v>398</v>
      </c>
      <c r="D281" t="s">
        <v>334</v>
      </c>
      <c r="E281" s="204" t="s">
        <v>854</v>
      </c>
      <c r="F281" s="204">
        <v>14074</v>
      </c>
      <c r="G281" t="str">
        <f>LOOKUP(B281,ΠΕΡΙΦΕΡΕΙΑ!$A$2:$A$14,ΠΕΡΙΦΕΡΕΙΑ!$B$2:$B$14)</f>
        <v>Μερική</v>
      </c>
      <c r="H281">
        <f t="shared" si="25"/>
        <v>280</v>
      </c>
      <c r="I281">
        <f t="shared" si="26"/>
        <v>323</v>
      </c>
      <c r="J281" t="str">
        <f t="shared" si="27"/>
        <v>ΣΤΕΡΕΑΣ ΕΛΛΑΔΑΣ</v>
      </c>
      <c r="K281" t="str">
        <f t="shared" si="28"/>
        <v>ΣΤΥΛΙΔΟΣ</v>
      </c>
      <c r="L281" s="170" t="s">
        <v>420</v>
      </c>
      <c r="M281" t="str">
        <f t="shared" si="24"/>
        <v/>
      </c>
      <c r="N281"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v>
      </c>
    </row>
    <row r="282" spans="1:14" x14ac:dyDescent="0.25">
      <c r="A282">
        <v>281</v>
      </c>
      <c r="B282" t="s">
        <v>413</v>
      </c>
      <c r="C282" t="s">
        <v>397</v>
      </c>
      <c r="D282" t="s">
        <v>330</v>
      </c>
      <c r="E282" s="204" t="s">
        <v>855</v>
      </c>
      <c r="F282" s="204">
        <v>13912</v>
      </c>
      <c r="G282" t="str">
        <f>LOOKUP(B282,ΠΕΡΙΦΕΡΕΙΑ!$A$2:$A$14,ΠΕΡΙΦΕΡΕΙΑ!$B$2:$B$14)</f>
        <v>Μερική</v>
      </c>
      <c r="H282">
        <f t="shared" si="25"/>
        <v>281</v>
      </c>
      <c r="I282">
        <f t="shared" si="26"/>
        <v>324</v>
      </c>
      <c r="J282" t="str">
        <f t="shared" si="27"/>
        <v>ΣΤΕΡΕΑΣ ΕΛΛΑΔΑΣ</v>
      </c>
      <c r="K282" t="str">
        <f t="shared" si="28"/>
        <v>ΤΑΝΑΓΡΑΣ</v>
      </c>
      <c r="L282" s="170" t="s">
        <v>420</v>
      </c>
      <c r="M282" t="str">
        <f t="shared" si="24"/>
        <v/>
      </c>
      <c r="N282"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v>
      </c>
    </row>
    <row r="283" spans="1:14" x14ac:dyDescent="0.25">
      <c r="A283">
        <v>282</v>
      </c>
      <c r="B283" t="s">
        <v>413</v>
      </c>
      <c r="C283" t="s">
        <v>394</v>
      </c>
      <c r="D283" t="s">
        <v>315</v>
      </c>
      <c r="E283" s="204" t="s">
        <v>856</v>
      </c>
      <c r="F283" s="204">
        <v>14092</v>
      </c>
      <c r="G283" t="str">
        <f>LOOKUP(B283,ΠΕΡΙΦΕΡΕΙΑ!$A$2:$A$14,ΠΕΡΙΦΕΡΕΙΑ!$B$2:$B$14)</f>
        <v>Μερική</v>
      </c>
      <c r="H283">
        <f t="shared" si="25"/>
        <v>282</v>
      </c>
      <c r="I283">
        <f t="shared" si="26"/>
        <v>325</v>
      </c>
      <c r="J283" t="str">
        <f t="shared" si="27"/>
        <v>ΣΤΕΡΕΑΣ ΕΛΛΑΔΑΣ</v>
      </c>
      <c r="K283" t="str">
        <f t="shared" si="28"/>
        <v>ΧΑΛΚΙΔΕΩΝ</v>
      </c>
      <c r="L283" s="170" t="s">
        <v>419</v>
      </c>
      <c r="M283" t="str">
        <f t="shared" si="24"/>
        <v xml:space="preserve">ΣΤΕΡΕΑΣ ΕΛΛΑΔΑΣ - ΧΑΛΚΙΔΕΩΝ, </v>
      </c>
      <c r="N283"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284" spans="1:14" x14ac:dyDescent="0.25">
      <c r="A284">
        <v>283</v>
      </c>
      <c r="B284" t="s">
        <v>413</v>
      </c>
      <c r="C284" t="s">
        <v>394</v>
      </c>
      <c r="D284" t="s">
        <v>316</v>
      </c>
      <c r="E284" s="204" t="s">
        <v>857</v>
      </c>
      <c r="F284" s="204">
        <v>14096</v>
      </c>
      <c r="G284" t="str">
        <f>LOOKUP(B284,ΠΕΡΙΦΕΡΕΙΑ!$A$2:$A$14,ΠΕΡΙΦΕΡΕΙΑ!$B$2:$B$14)</f>
        <v>Μερική</v>
      </c>
      <c r="H284">
        <f t="shared" si="25"/>
        <v>283</v>
      </c>
      <c r="I284" t="e">
        <f t="shared" si="26"/>
        <v>#NUM!</v>
      </c>
      <c r="J284" t="str">
        <f t="shared" si="27"/>
        <v/>
      </c>
      <c r="K284" t="str">
        <f t="shared" si="28"/>
        <v/>
      </c>
      <c r="L284" s="170" t="s">
        <v>420</v>
      </c>
      <c r="M284" t="str">
        <f t="shared" si="24"/>
        <v/>
      </c>
      <c r="N284"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285" spans="1:14" x14ac:dyDescent="0.25">
      <c r="A285">
        <v>284</v>
      </c>
      <c r="B285" t="s">
        <v>413</v>
      </c>
      <c r="C285" t="s">
        <v>397</v>
      </c>
      <c r="D285" t="s">
        <v>331</v>
      </c>
      <c r="E285" s="204" t="s">
        <v>858</v>
      </c>
      <c r="F285" s="204">
        <v>14100</v>
      </c>
      <c r="G285" t="str">
        <f>LOOKUP(B285,ΠΕΡΙΦΕΡΕΙΑ!$A$2:$A$14,ΠΕΡΙΦΕΡΕΙΑ!$B$2:$B$14)</f>
        <v>Μερική</v>
      </c>
      <c r="H285">
        <f t="shared" si="25"/>
        <v>284</v>
      </c>
      <c r="I285" t="e">
        <f t="shared" si="26"/>
        <v>#NUM!</v>
      </c>
      <c r="J285" t="str">
        <f t="shared" si="27"/>
        <v/>
      </c>
      <c r="K285" t="str">
        <f t="shared" si="28"/>
        <v/>
      </c>
      <c r="L285" s="170" t="s">
        <v>420</v>
      </c>
      <c r="M285" t="str">
        <f t="shared" si="24"/>
        <v/>
      </c>
      <c r="N285"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286" spans="1:14" x14ac:dyDescent="0.25">
      <c r="A286">
        <v>285</v>
      </c>
      <c r="B286" t="s">
        <v>413</v>
      </c>
      <c r="C286" t="s">
        <v>398</v>
      </c>
      <c r="D286" t="s">
        <v>335</v>
      </c>
      <c r="E286" s="204" t="s">
        <v>859</v>
      </c>
      <c r="F286" s="204">
        <v>14178</v>
      </c>
      <c r="G286" t="str">
        <f>LOOKUP(B286,ΠΕΡΙΦΕΡΕΙΑ!$A$2:$A$14,ΠΕΡΙΦΕΡΕΙΑ!$B$2:$B$14)</f>
        <v>Μερική</v>
      </c>
      <c r="H286">
        <f t="shared" si="25"/>
        <v>285</v>
      </c>
      <c r="I286" t="e">
        <f t="shared" si="26"/>
        <v>#NUM!</v>
      </c>
      <c r="J286" t="str">
        <f t="shared" si="27"/>
        <v/>
      </c>
      <c r="K286" t="str">
        <f t="shared" si="28"/>
        <v/>
      </c>
      <c r="L286" s="170" t="s">
        <v>420</v>
      </c>
      <c r="M286" t="str">
        <f t="shared" si="24"/>
        <v/>
      </c>
      <c r="N286"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287" spans="1:14" x14ac:dyDescent="0.25">
      <c r="A287">
        <v>286</v>
      </c>
      <c r="B287" t="s">
        <v>413</v>
      </c>
      <c r="C287" t="s">
        <v>396</v>
      </c>
      <c r="D287" t="s">
        <v>324</v>
      </c>
      <c r="E287" s="204" t="s">
        <v>860</v>
      </c>
      <c r="F287" s="204">
        <v>14168</v>
      </c>
      <c r="G287" t="str">
        <f>LOOKUP(B287,ΠΕΡΙΦΕΡΕΙΑ!$A$2:$A$14,ΠΕΡΙΦΕΡΕΙΑ!$B$2:$B$14)</f>
        <v>Μερική</v>
      </c>
      <c r="H287">
        <f t="shared" si="25"/>
        <v>286</v>
      </c>
      <c r="I287" t="e">
        <f t="shared" si="26"/>
        <v>#NUM!</v>
      </c>
      <c r="J287" t="str">
        <f t="shared" si="27"/>
        <v/>
      </c>
      <c r="K287" t="str">
        <f t="shared" si="28"/>
        <v/>
      </c>
      <c r="L287" s="170" t="s">
        <v>420</v>
      </c>
      <c r="M287" t="str">
        <f t="shared" si="24"/>
        <v/>
      </c>
      <c r="N287"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288" spans="1:14" x14ac:dyDescent="0.25">
      <c r="A288">
        <v>287</v>
      </c>
      <c r="B288" t="s">
        <v>413</v>
      </c>
      <c r="C288" t="s">
        <v>396</v>
      </c>
      <c r="D288" t="s">
        <v>325</v>
      </c>
      <c r="E288" s="204" t="s">
        <v>861</v>
      </c>
      <c r="F288" s="204">
        <v>14244</v>
      </c>
      <c r="G288" t="str">
        <f>LOOKUP(B288,ΠΕΡΙΦΕΡΕΙΑ!$A$2:$A$14,ΠΕΡΙΦΕΡΕΙΑ!$B$2:$B$14)</f>
        <v>Μερική</v>
      </c>
      <c r="H288">
        <f t="shared" si="25"/>
        <v>287</v>
      </c>
      <c r="I288" t="e">
        <f t="shared" si="26"/>
        <v>#NUM!</v>
      </c>
      <c r="J288" t="str">
        <f t="shared" si="27"/>
        <v/>
      </c>
      <c r="K288" t="str">
        <f t="shared" si="28"/>
        <v/>
      </c>
      <c r="L288" s="170" t="s">
        <v>420</v>
      </c>
      <c r="M288" t="str">
        <f t="shared" si="24"/>
        <v/>
      </c>
      <c r="N288"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289" spans="1:14" x14ac:dyDescent="0.25">
      <c r="A289">
        <v>288</v>
      </c>
      <c r="B289" t="s">
        <v>413</v>
      </c>
      <c r="C289" t="s">
        <v>395</v>
      </c>
      <c r="D289" t="s">
        <v>320</v>
      </c>
      <c r="E289" s="204" t="s">
        <v>862</v>
      </c>
      <c r="F289" s="204">
        <v>14282</v>
      </c>
      <c r="G289" t="str">
        <f>LOOKUP(B289,ΠΕΡΙΦΕΡΕΙΑ!$A$2:$A$14,ΠΕΡΙΦΕΡΕΙΑ!$B$2:$B$14)</f>
        <v>Μερική</v>
      </c>
      <c r="H289">
        <f t="shared" si="25"/>
        <v>288</v>
      </c>
      <c r="I289" t="e">
        <f t="shared" si="26"/>
        <v>#NUM!</v>
      </c>
      <c r="J289" t="str">
        <f t="shared" si="27"/>
        <v/>
      </c>
      <c r="K289" t="str">
        <f t="shared" si="28"/>
        <v/>
      </c>
      <c r="L289" s="170" t="s">
        <v>420</v>
      </c>
      <c r="M289" t="str">
        <f t="shared" si="24"/>
        <v/>
      </c>
      <c r="N289"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290" spans="1:14" x14ac:dyDescent="0.25">
      <c r="A290">
        <v>289</v>
      </c>
      <c r="B290" t="s">
        <v>413</v>
      </c>
      <c r="C290" t="s">
        <v>398</v>
      </c>
      <c r="D290" t="s">
        <v>336</v>
      </c>
      <c r="E290" s="204" t="s">
        <v>863</v>
      </c>
      <c r="F290" s="204">
        <v>14292</v>
      </c>
      <c r="G290" t="str">
        <f>LOOKUP(B290,ΠΕΡΙΦΕΡΕΙΑ!$A$2:$A$14,ΠΕΡΙΦΕΡΕΙΑ!$B$2:$B$14)</f>
        <v>Μερική</v>
      </c>
      <c r="H290">
        <f t="shared" si="25"/>
        <v>289</v>
      </c>
      <c r="I290" t="e">
        <f t="shared" si="26"/>
        <v>#NUM!</v>
      </c>
      <c r="J290" t="str">
        <f t="shared" si="27"/>
        <v/>
      </c>
      <c r="K290" t="str">
        <f t="shared" si="28"/>
        <v/>
      </c>
      <c r="L290" s="170" t="s">
        <v>420</v>
      </c>
      <c r="M290" t="str">
        <f t="shared" si="24"/>
        <v/>
      </c>
      <c r="N290"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291" spans="1:14" x14ac:dyDescent="0.25">
      <c r="A291">
        <v>290</v>
      </c>
      <c r="B291" t="s">
        <v>413</v>
      </c>
      <c r="C291" t="s">
        <v>397</v>
      </c>
      <c r="D291" t="s">
        <v>332</v>
      </c>
      <c r="E291" s="204" t="s">
        <v>864</v>
      </c>
      <c r="F291" s="204">
        <v>14268</v>
      </c>
      <c r="G291" t="str">
        <f>LOOKUP(B291,ΠΕΡΙΦΕΡΕΙΑ!$A$2:$A$14,ΠΕΡΙΦΕΡΕΙΑ!$B$2:$B$14)</f>
        <v>Μερική</v>
      </c>
      <c r="H291">
        <f t="shared" si="25"/>
        <v>290</v>
      </c>
      <c r="I291" t="e">
        <f t="shared" si="26"/>
        <v>#NUM!</v>
      </c>
      <c r="J291" t="str">
        <f t="shared" si="27"/>
        <v/>
      </c>
      <c r="K291" t="str">
        <f t="shared" si="28"/>
        <v/>
      </c>
      <c r="L291" s="170" t="s">
        <v>420</v>
      </c>
      <c r="M291" t="str">
        <f t="shared" si="24"/>
        <v/>
      </c>
      <c r="N291"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292" spans="1:14" x14ac:dyDescent="0.25">
      <c r="A292">
        <v>291</v>
      </c>
      <c r="B292" t="s">
        <v>413</v>
      </c>
      <c r="C292" t="s">
        <v>394</v>
      </c>
      <c r="D292" t="s">
        <v>317</v>
      </c>
      <c r="E292" s="204" t="s">
        <v>865</v>
      </c>
      <c r="F292" s="204">
        <v>14314</v>
      </c>
      <c r="G292" t="str">
        <f>LOOKUP(B292,ΠΕΡΙΦΕΡΕΙΑ!$A$2:$A$14,ΠΕΡΙΦΕΡΕΙΑ!$B$2:$B$14)</f>
        <v>Μερική</v>
      </c>
      <c r="H292">
        <f t="shared" si="25"/>
        <v>291</v>
      </c>
      <c r="I292" t="e">
        <f t="shared" si="26"/>
        <v>#NUM!</v>
      </c>
      <c r="J292" t="str">
        <f t="shared" si="27"/>
        <v/>
      </c>
      <c r="K292" t="str">
        <f t="shared" si="28"/>
        <v/>
      </c>
      <c r="L292" s="170" t="s">
        <v>420</v>
      </c>
      <c r="M292" t="str">
        <f t="shared" si="24"/>
        <v/>
      </c>
      <c r="N292"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293" spans="1:14" x14ac:dyDescent="0.25">
      <c r="A293">
        <v>292</v>
      </c>
      <c r="B293" t="s">
        <v>413</v>
      </c>
      <c r="C293" t="s">
        <v>396</v>
      </c>
      <c r="D293" t="s">
        <v>326</v>
      </c>
      <c r="E293" s="204" t="s">
        <v>866</v>
      </c>
      <c r="F293" s="204">
        <v>14322</v>
      </c>
      <c r="G293" t="str">
        <f>LOOKUP(B293,ΠΕΡΙΦΕΡΕΙΑ!$A$2:$A$14,ΠΕΡΙΦΕΡΕΙΑ!$B$2:$B$14)</f>
        <v>Μερική</v>
      </c>
      <c r="H293">
        <f t="shared" si="25"/>
        <v>292</v>
      </c>
      <c r="I293" t="e">
        <f t="shared" si="26"/>
        <v>#NUM!</v>
      </c>
      <c r="J293" t="str">
        <f t="shared" si="27"/>
        <v/>
      </c>
      <c r="K293" t="str">
        <f t="shared" si="28"/>
        <v/>
      </c>
      <c r="L293" s="170" t="s">
        <v>420</v>
      </c>
      <c r="M293" t="str">
        <f t="shared" si="24"/>
        <v/>
      </c>
      <c r="N293"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294" spans="1:14" x14ac:dyDescent="0.25">
      <c r="A294">
        <v>293</v>
      </c>
      <c r="B294" t="s">
        <v>413</v>
      </c>
      <c r="C294" t="s">
        <v>395</v>
      </c>
      <c r="D294" t="s">
        <v>321</v>
      </c>
      <c r="E294" s="204" t="s">
        <v>867</v>
      </c>
      <c r="F294" s="204">
        <v>14340</v>
      </c>
      <c r="G294" t="str">
        <f>LOOKUP(B294,ΠΕΡΙΦΕΡΕΙΑ!$A$2:$A$14,ΠΕΡΙΦΕΡΕΙΑ!$B$2:$B$14)</f>
        <v>Μερική</v>
      </c>
      <c r="H294">
        <f t="shared" si="25"/>
        <v>293</v>
      </c>
      <c r="I294" t="e">
        <f t="shared" si="26"/>
        <v>#NUM!</v>
      </c>
      <c r="J294" t="str">
        <f t="shared" si="27"/>
        <v/>
      </c>
      <c r="K294" t="str">
        <f t="shared" si="28"/>
        <v/>
      </c>
      <c r="L294" s="170" t="s">
        <v>420</v>
      </c>
      <c r="M294" t="str">
        <f t="shared" si="24"/>
        <v/>
      </c>
      <c r="N294"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295" spans="1:14" x14ac:dyDescent="0.25">
      <c r="A295">
        <v>294</v>
      </c>
      <c r="B295" t="s">
        <v>413</v>
      </c>
      <c r="C295" t="s">
        <v>396</v>
      </c>
      <c r="D295" t="s">
        <v>327</v>
      </c>
      <c r="E295" s="204" t="s">
        <v>868</v>
      </c>
      <c r="F295" s="204">
        <v>14346</v>
      </c>
      <c r="G295" t="str">
        <f>LOOKUP(B295,ΠΕΡΙΦΕΡΕΙΑ!$A$2:$A$14,ΠΕΡΙΦΕΡΕΙΑ!$B$2:$B$14)</f>
        <v>Μερική</v>
      </c>
      <c r="H295">
        <f t="shared" si="25"/>
        <v>294</v>
      </c>
      <c r="I295" t="e">
        <f t="shared" si="26"/>
        <v>#NUM!</v>
      </c>
      <c r="J295" t="str">
        <f t="shared" si="27"/>
        <v/>
      </c>
      <c r="K295" t="str">
        <f t="shared" si="28"/>
        <v/>
      </c>
      <c r="L295" s="170" t="s">
        <v>420</v>
      </c>
      <c r="M295" t="str">
        <f t="shared" si="24"/>
        <v/>
      </c>
      <c r="N295"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296" spans="1:14" x14ac:dyDescent="0.25">
      <c r="A296">
        <v>295</v>
      </c>
      <c r="B296" t="s">
        <v>413</v>
      </c>
      <c r="C296" t="s">
        <v>398</v>
      </c>
      <c r="D296" t="s">
        <v>337</v>
      </c>
      <c r="E296" s="204" t="s">
        <v>869</v>
      </c>
      <c r="F296" s="204">
        <v>14350</v>
      </c>
      <c r="G296" t="str">
        <f>LOOKUP(B296,ΠΕΡΙΦΕΡΕΙΑ!$A$2:$A$14,ΠΕΡΙΦΕΡΕΙΑ!$B$2:$B$14)</f>
        <v>Μερική</v>
      </c>
      <c r="H296">
        <f t="shared" si="25"/>
        <v>295</v>
      </c>
      <c r="I296" t="e">
        <f t="shared" si="26"/>
        <v>#NUM!</v>
      </c>
      <c r="J296" t="str">
        <f t="shared" si="27"/>
        <v/>
      </c>
      <c r="K296" t="str">
        <f t="shared" si="28"/>
        <v/>
      </c>
      <c r="L296" s="170" t="s">
        <v>420</v>
      </c>
      <c r="M296" t="str">
        <f t="shared" si="24"/>
        <v/>
      </c>
      <c r="N296"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297" spans="1:14" x14ac:dyDescent="0.25">
      <c r="A297">
        <v>296</v>
      </c>
      <c r="B297" t="s">
        <v>413</v>
      </c>
      <c r="C297" t="s">
        <v>398</v>
      </c>
      <c r="D297" t="s">
        <v>338</v>
      </c>
      <c r="E297" s="204" t="s">
        <v>870</v>
      </c>
      <c r="F297" s="204">
        <v>14426</v>
      </c>
      <c r="G297" t="str">
        <f>LOOKUP(B297,ΠΕΡΙΦΕΡΕΙΑ!$A$2:$A$14,ΠΕΡΙΦΕΡΕΙΑ!$B$2:$B$14)</f>
        <v>Μερική</v>
      </c>
      <c r="H297">
        <f t="shared" si="25"/>
        <v>296</v>
      </c>
      <c r="I297" t="e">
        <f t="shared" si="26"/>
        <v>#NUM!</v>
      </c>
      <c r="J297" t="str">
        <f t="shared" si="27"/>
        <v/>
      </c>
      <c r="K297" t="str">
        <f t="shared" si="28"/>
        <v/>
      </c>
      <c r="L297" s="170" t="s">
        <v>420</v>
      </c>
      <c r="M297" t="str">
        <f t="shared" si="24"/>
        <v/>
      </c>
      <c r="N297"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298" spans="1:14" x14ac:dyDescent="0.25">
      <c r="A298">
        <v>297</v>
      </c>
      <c r="B298" t="s">
        <v>413</v>
      </c>
      <c r="C298" t="s">
        <v>396</v>
      </c>
      <c r="D298" t="s">
        <v>328</v>
      </c>
      <c r="E298" s="204" t="s">
        <v>871</v>
      </c>
      <c r="F298" s="204">
        <v>14460</v>
      </c>
      <c r="G298" t="str">
        <f>LOOKUP(B298,ΠΕΡΙΦΕΡΕΙΑ!$A$2:$A$14,ΠΕΡΙΦΕΡΕΙΑ!$B$2:$B$14)</f>
        <v>Μερική</v>
      </c>
      <c r="H298">
        <f t="shared" si="25"/>
        <v>297</v>
      </c>
      <c r="I298" t="e">
        <f t="shared" si="26"/>
        <v>#NUM!</v>
      </c>
      <c r="J298" t="str">
        <f t="shared" si="27"/>
        <v/>
      </c>
      <c r="K298" t="str">
        <f t="shared" si="28"/>
        <v/>
      </c>
      <c r="L298" s="170" t="s">
        <v>420</v>
      </c>
      <c r="M298" t="str">
        <f t="shared" si="24"/>
        <v/>
      </c>
      <c r="N298"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299" spans="1:14" x14ac:dyDescent="0.25">
      <c r="A299">
        <v>298</v>
      </c>
      <c r="B299" t="s">
        <v>413</v>
      </c>
      <c r="C299" t="s">
        <v>397</v>
      </c>
      <c r="D299" t="s">
        <v>333</v>
      </c>
      <c r="E299" s="204" t="s">
        <v>872</v>
      </c>
      <c r="F299" s="204">
        <v>14478</v>
      </c>
      <c r="G299" t="str">
        <f>LOOKUP(B299,ΠΕΡΙΦΕΡΕΙΑ!$A$2:$A$14,ΠΕΡΙΦΕΡΕΙΑ!$B$2:$B$14)</f>
        <v>Μερική</v>
      </c>
      <c r="H299">
        <f t="shared" si="25"/>
        <v>298</v>
      </c>
      <c r="I299" t="e">
        <f t="shared" si="26"/>
        <v>#NUM!</v>
      </c>
      <c r="J299" t="str">
        <f t="shared" si="27"/>
        <v/>
      </c>
      <c r="K299" t="str">
        <f t="shared" si="28"/>
        <v/>
      </c>
      <c r="L299" s="170" t="s">
        <v>420</v>
      </c>
      <c r="M299" t="str">
        <f t="shared" si="24"/>
        <v/>
      </c>
      <c r="N299"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300" spans="1:14" x14ac:dyDescent="0.25">
      <c r="A300">
        <v>299</v>
      </c>
      <c r="B300" t="s">
        <v>413</v>
      </c>
      <c r="C300" t="s">
        <v>395</v>
      </c>
      <c r="D300" t="s">
        <v>322</v>
      </c>
      <c r="E300" s="204" t="s">
        <v>873</v>
      </c>
      <c r="F300" s="204">
        <v>14500</v>
      </c>
      <c r="G300" t="str">
        <f>LOOKUP(B300,ΠΕΡΙΦΕΡΕΙΑ!$A$2:$A$14,ΠΕΡΙΦΕΡΕΙΑ!$B$2:$B$14)</f>
        <v>Μερική</v>
      </c>
      <c r="H300">
        <f t="shared" si="25"/>
        <v>299</v>
      </c>
      <c r="I300" t="e">
        <f t="shared" si="26"/>
        <v>#NUM!</v>
      </c>
      <c r="J300" t="str">
        <f t="shared" si="27"/>
        <v/>
      </c>
      <c r="K300" t="str">
        <f t="shared" si="28"/>
        <v/>
      </c>
      <c r="L300" s="170" t="s">
        <v>420</v>
      </c>
      <c r="M300" t="str">
        <f t="shared" si="24"/>
        <v/>
      </c>
      <c r="N300"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301" spans="1:14" x14ac:dyDescent="0.25">
      <c r="A301">
        <v>300</v>
      </c>
      <c r="B301" t="s">
        <v>413</v>
      </c>
      <c r="C301" t="s">
        <v>398</v>
      </c>
      <c r="D301" t="s">
        <v>339</v>
      </c>
      <c r="E301" s="204" t="s">
        <v>874</v>
      </c>
      <c r="F301" s="204">
        <v>14504</v>
      </c>
      <c r="G301" t="str">
        <f>LOOKUP(B301,ΠΕΡΙΦΕΡΕΙΑ!$A$2:$A$14,ΠΕΡΙΦΕΡΕΙΑ!$B$2:$B$14)</f>
        <v>Μερική</v>
      </c>
      <c r="H301">
        <f t="shared" si="25"/>
        <v>300</v>
      </c>
      <c r="I301" t="e">
        <f t="shared" si="26"/>
        <v>#NUM!</v>
      </c>
      <c r="J301" t="str">
        <f t="shared" si="27"/>
        <v/>
      </c>
      <c r="K301" t="str">
        <f t="shared" si="28"/>
        <v/>
      </c>
      <c r="L301" s="170" t="s">
        <v>420</v>
      </c>
      <c r="M301" t="str">
        <f t="shared" si="24"/>
        <v/>
      </c>
      <c r="N301"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302" spans="1:14" x14ac:dyDescent="0.25">
      <c r="A302">
        <v>301</v>
      </c>
      <c r="B302" t="s">
        <v>414</v>
      </c>
      <c r="C302" t="s">
        <v>401</v>
      </c>
      <c r="D302" t="s">
        <v>354</v>
      </c>
      <c r="E302" s="204" t="s">
        <v>875</v>
      </c>
      <c r="F302" s="204">
        <v>13940</v>
      </c>
      <c r="G302" t="str">
        <f>LOOKUP(B302,ΠΕΡΙΦΕΡΕΙΑ!$A$2:$A$14,ΠΕΡΙΦΕΡΕΙΑ!$B$2:$B$14)</f>
        <v>Μερική</v>
      </c>
      <c r="H302">
        <f t="shared" si="25"/>
        <v>301</v>
      </c>
      <c r="I302" t="e">
        <f t="shared" si="26"/>
        <v>#NUM!</v>
      </c>
      <c r="J302" t="str">
        <f t="shared" si="27"/>
        <v/>
      </c>
      <c r="K302" t="str">
        <f t="shared" si="28"/>
        <v/>
      </c>
      <c r="L302" s="170" t="s">
        <v>420</v>
      </c>
      <c r="M302" t="str">
        <f t="shared" si="24"/>
        <v/>
      </c>
      <c r="N302"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303" spans="1:14" x14ac:dyDescent="0.25">
      <c r="A303">
        <v>302</v>
      </c>
      <c r="B303" t="s">
        <v>414</v>
      </c>
      <c r="C303" t="s">
        <v>399</v>
      </c>
      <c r="D303" t="s">
        <v>340</v>
      </c>
      <c r="E303" s="204" t="s">
        <v>876</v>
      </c>
      <c r="F303" s="204">
        <v>13954</v>
      </c>
      <c r="G303" t="str">
        <f>LOOKUP(B303,ΠΕΡΙΦΕΡΕΙΑ!$A$2:$A$14,ΠΕΡΙΦΕΡΕΙΑ!$B$2:$B$14)</f>
        <v>Μερική</v>
      </c>
      <c r="H303">
        <f t="shared" si="25"/>
        <v>302</v>
      </c>
      <c r="I303" t="e">
        <f t="shared" si="26"/>
        <v>#NUM!</v>
      </c>
      <c r="J303" t="str">
        <f t="shared" si="27"/>
        <v/>
      </c>
      <c r="K303" t="str">
        <f t="shared" si="28"/>
        <v/>
      </c>
      <c r="L303" s="170" t="s">
        <v>420</v>
      </c>
      <c r="M303" t="str">
        <f t="shared" si="24"/>
        <v/>
      </c>
      <c r="N303"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304" spans="1:14" x14ac:dyDescent="0.25">
      <c r="A304">
        <v>303</v>
      </c>
      <c r="B304" t="s">
        <v>414</v>
      </c>
      <c r="C304" t="s">
        <v>402</v>
      </c>
      <c r="D304" t="s">
        <v>356</v>
      </c>
      <c r="E304" s="204" t="s">
        <v>877</v>
      </c>
      <c r="F304" s="204">
        <v>13972</v>
      </c>
      <c r="G304" t="str">
        <f>LOOKUP(B304,ΠΕΡΙΦΕΡΕΙΑ!$A$2:$A$14,ΠΕΡΙΦΕΡΕΙΑ!$B$2:$B$14)</f>
        <v>Μερική</v>
      </c>
      <c r="H304">
        <f t="shared" si="25"/>
        <v>303</v>
      </c>
      <c r="I304" t="e">
        <f t="shared" si="26"/>
        <v>#NUM!</v>
      </c>
      <c r="J304" t="str">
        <f t="shared" si="27"/>
        <v/>
      </c>
      <c r="K304" t="str">
        <f t="shared" si="28"/>
        <v/>
      </c>
      <c r="L304" s="170" t="s">
        <v>420</v>
      </c>
      <c r="M304" t="str">
        <f t="shared" si="24"/>
        <v/>
      </c>
      <c r="N304"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305" spans="1:14" x14ac:dyDescent="0.25">
      <c r="A305">
        <v>304</v>
      </c>
      <c r="B305" t="s">
        <v>414</v>
      </c>
      <c r="C305" t="s">
        <v>403</v>
      </c>
      <c r="D305" t="s">
        <v>363</v>
      </c>
      <c r="E305" s="204" t="s">
        <v>878</v>
      </c>
      <c r="F305" s="204">
        <v>14052</v>
      </c>
      <c r="G305" t="str">
        <f>LOOKUP(B305,ΠΕΡΙΦΕΡΕΙΑ!$A$2:$A$14,ΠΕΡΙΦΕΡΕΙΑ!$B$2:$B$14)</f>
        <v>Μερική</v>
      </c>
      <c r="H305">
        <f t="shared" si="25"/>
        <v>304</v>
      </c>
      <c r="I305" t="e">
        <f t="shared" si="26"/>
        <v>#NUM!</v>
      </c>
      <c r="J305" t="str">
        <f t="shared" si="27"/>
        <v/>
      </c>
      <c r="K305" t="str">
        <f t="shared" si="28"/>
        <v/>
      </c>
      <c r="L305" s="170" t="s">
        <v>420</v>
      </c>
      <c r="M305" t="str">
        <f t="shared" si="24"/>
        <v/>
      </c>
      <c r="N305"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306" spans="1:14" x14ac:dyDescent="0.25">
      <c r="A306">
        <v>305</v>
      </c>
      <c r="B306" t="s">
        <v>414</v>
      </c>
      <c r="C306" t="s">
        <v>400</v>
      </c>
      <c r="D306" t="s">
        <v>346</v>
      </c>
      <c r="E306" s="204" t="s">
        <v>879</v>
      </c>
      <c r="F306" s="204">
        <v>14064</v>
      </c>
      <c r="G306" t="str">
        <f>LOOKUP(B306,ΠΕΡΙΦΕΡΕΙΑ!$A$2:$A$14,ΠΕΡΙΦΕΡΕΙΑ!$B$2:$B$14)</f>
        <v>Μερική</v>
      </c>
      <c r="H306">
        <f t="shared" si="25"/>
        <v>305</v>
      </c>
      <c r="I306" t="e">
        <f t="shared" si="26"/>
        <v>#NUM!</v>
      </c>
      <c r="J306" t="str">
        <f t="shared" si="27"/>
        <v/>
      </c>
      <c r="K306" t="str">
        <f t="shared" si="28"/>
        <v/>
      </c>
      <c r="L306" s="170" t="s">
        <v>420</v>
      </c>
      <c r="M306" t="str">
        <f t="shared" si="24"/>
        <v/>
      </c>
      <c r="N306"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307" spans="1:14" x14ac:dyDescent="0.25">
      <c r="A307">
        <v>306</v>
      </c>
      <c r="B307" t="s">
        <v>414</v>
      </c>
      <c r="C307" t="s">
        <v>399</v>
      </c>
      <c r="D307" t="s">
        <v>341</v>
      </c>
      <c r="E307" s="204" t="s">
        <v>880</v>
      </c>
      <c r="F307" s="204">
        <v>14056</v>
      </c>
      <c r="G307" t="str">
        <f>LOOKUP(B307,ΠΕΡΙΦΕΡΕΙΑ!$A$2:$A$14,ΠΕΡΙΦΕΡΕΙΑ!$B$2:$B$14)</f>
        <v>Μερική</v>
      </c>
      <c r="H307">
        <f t="shared" si="25"/>
        <v>306</v>
      </c>
      <c r="I307" t="e">
        <f t="shared" si="26"/>
        <v>#NUM!</v>
      </c>
      <c r="J307" t="str">
        <f t="shared" si="27"/>
        <v/>
      </c>
      <c r="K307" t="str">
        <f t="shared" si="28"/>
        <v/>
      </c>
      <c r="L307" s="170" t="s">
        <v>420</v>
      </c>
      <c r="M307" t="str">
        <f t="shared" si="24"/>
        <v/>
      </c>
      <c r="N307"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308" spans="1:14" x14ac:dyDescent="0.25">
      <c r="A308">
        <v>307</v>
      </c>
      <c r="B308" t="s">
        <v>414</v>
      </c>
      <c r="C308" t="s">
        <v>402</v>
      </c>
      <c r="D308" t="s">
        <v>357</v>
      </c>
      <c r="E308" s="204" t="s">
        <v>881</v>
      </c>
      <c r="F308" s="204">
        <v>14066</v>
      </c>
      <c r="G308" t="str">
        <f>LOOKUP(B308,ΠΕΡΙΦΕΡΕΙΑ!$A$2:$A$14,ΠΕΡΙΦΕΡΕΙΑ!$B$2:$B$14)</f>
        <v>Μερική</v>
      </c>
      <c r="H308">
        <f t="shared" si="25"/>
        <v>307</v>
      </c>
      <c r="I308" t="e">
        <f t="shared" si="26"/>
        <v>#NUM!</v>
      </c>
      <c r="J308" t="str">
        <f t="shared" si="27"/>
        <v/>
      </c>
      <c r="K308" t="str">
        <f t="shared" si="28"/>
        <v/>
      </c>
      <c r="L308" s="170" t="s">
        <v>420</v>
      </c>
      <c r="M308" t="str">
        <f t="shared" si="24"/>
        <v/>
      </c>
      <c r="N308"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309" spans="1:14" x14ac:dyDescent="0.25">
      <c r="A309">
        <v>308</v>
      </c>
      <c r="B309" t="s">
        <v>414</v>
      </c>
      <c r="C309" t="s">
        <v>403</v>
      </c>
      <c r="D309" t="s">
        <v>364</v>
      </c>
      <c r="E309" s="204" t="s">
        <v>882</v>
      </c>
      <c r="F309" s="204">
        <v>14078</v>
      </c>
      <c r="G309" t="str">
        <f>LOOKUP(B309,ΠΕΡΙΦΕΡΕΙΑ!$A$2:$A$14,ΠΕΡΙΦΕΡΕΙΑ!$B$2:$B$14)</f>
        <v>Μερική</v>
      </c>
      <c r="H309">
        <f t="shared" si="25"/>
        <v>308</v>
      </c>
      <c r="I309" t="e">
        <f t="shared" si="26"/>
        <v>#NUM!</v>
      </c>
      <c r="J309" t="str">
        <f t="shared" si="27"/>
        <v/>
      </c>
      <c r="K309" t="str">
        <f t="shared" si="28"/>
        <v/>
      </c>
      <c r="L309" s="170" t="s">
        <v>420</v>
      </c>
      <c r="M309" t="str">
        <f t="shared" si="24"/>
        <v/>
      </c>
      <c r="N309"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310" spans="1:14" x14ac:dyDescent="0.25">
      <c r="A310">
        <v>309</v>
      </c>
      <c r="B310" t="s">
        <v>414</v>
      </c>
      <c r="C310" t="s">
        <v>400</v>
      </c>
      <c r="D310" t="s">
        <v>347</v>
      </c>
      <c r="E310" s="204" t="s">
        <v>883</v>
      </c>
      <c r="F310" s="204">
        <v>14094</v>
      </c>
      <c r="G310" t="str">
        <f>LOOKUP(B310,ΠΕΡΙΦΕΡΕΙΑ!$A$2:$A$14,ΠΕΡΙΦΕΡΕΙΑ!$B$2:$B$14)</f>
        <v>Μερική</v>
      </c>
      <c r="H310">
        <f t="shared" si="25"/>
        <v>309</v>
      </c>
      <c r="I310" t="e">
        <f t="shared" si="26"/>
        <v>#NUM!</v>
      </c>
      <c r="J310" t="str">
        <f t="shared" si="27"/>
        <v/>
      </c>
      <c r="K310" t="str">
        <f t="shared" si="28"/>
        <v/>
      </c>
      <c r="L310" s="170" t="s">
        <v>420</v>
      </c>
      <c r="M310" t="str">
        <f t="shared" si="24"/>
        <v/>
      </c>
      <c r="N310"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311" spans="1:14" x14ac:dyDescent="0.25">
      <c r="A311">
        <v>310</v>
      </c>
      <c r="B311" t="s">
        <v>414</v>
      </c>
      <c r="C311" t="s">
        <v>399</v>
      </c>
      <c r="D311" t="s">
        <v>342</v>
      </c>
      <c r="E311" s="204" t="s">
        <v>884</v>
      </c>
      <c r="F311" s="204">
        <v>14132</v>
      </c>
      <c r="G311" t="str">
        <f>LOOKUP(B311,ΠΕΡΙΦΕΡΕΙΑ!$A$2:$A$14,ΠΕΡΙΦΕΡΕΙΑ!$B$2:$B$14)</f>
        <v>Μερική</v>
      </c>
      <c r="H311">
        <f t="shared" si="25"/>
        <v>310</v>
      </c>
      <c r="I311" t="e">
        <f t="shared" si="26"/>
        <v>#NUM!</v>
      </c>
      <c r="J311" t="str">
        <f t="shared" si="27"/>
        <v/>
      </c>
      <c r="K311" t="str">
        <f t="shared" si="28"/>
        <v/>
      </c>
      <c r="L311" s="170" t="s">
        <v>420</v>
      </c>
      <c r="M311" t="str">
        <f t="shared" si="24"/>
        <v/>
      </c>
      <c r="N311"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312" spans="1:14" x14ac:dyDescent="0.25">
      <c r="A312">
        <v>311</v>
      </c>
      <c r="B312" t="s">
        <v>414</v>
      </c>
      <c r="C312" t="s">
        <v>400</v>
      </c>
      <c r="D312" t="s">
        <v>348</v>
      </c>
      <c r="E312" s="204" t="s">
        <v>885</v>
      </c>
      <c r="F312" s="204">
        <v>14152</v>
      </c>
      <c r="G312" t="str">
        <f>LOOKUP(B312,ΠΕΡΙΦΕΡΕΙΑ!$A$2:$A$14,ΠΕΡΙΦΕΡΕΙΑ!$B$2:$B$14)</f>
        <v>Μερική</v>
      </c>
      <c r="H312">
        <f t="shared" si="25"/>
        <v>311</v>
      </c>
      <c r="I312" t="e">
        <f t="shared" si="26"/>
        <v>#NUM!</v>
      </c>
      <c r="J312" t="str">
        <f t="shared" si="27"/>
        <v/>
      </c>
      <c r="K312" t="str">
        <f t="shared" si="28"/>
        <v/>
      </c>
      <c r="L312" s="170" t="s">
        <v>420</v>
      </c>
      <c r="M312" t="str">
        <f t="shared" si="24"/>
        <v/>
      </c>
      <c r="N312"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313" spans="1:14" x14ac:dyDescent="0.25">
      <c r="A313">
        <v>312</v>
      </c>
      <c r="B313" t="s">
        <v>414</v>
      </c>
      <c r="C313" t="s">
        <v>401</v>
      </c>
      <c r="D313" t="s">
        <v>355</v>
      </c>
      <c r="E313" s="204" t="s">
        <v>886</v>
      </c>
      <c r="F313" s="204">
        <v>14194</v>
      </c>
      <c r="G313" t="str">
        <f>LOOKUP(B313,ΠΕΡΙΦΕΡΕΙΑ!$A$2:$A$14,ΠΕΡΙΦΕΡΕΙΑ!$B$2:$B$14)</f>
        <v>Μερική</v>
      </c>
      <c r="H313">
        <f t="shared" si="25"/>
        <v>312</v>
      </c>
      <c r="I313" t="e">
        <f t="shared" si="26"/>
        <v>#NUM!</v>
      </c>
      <c r="J313" t="str">
        <f t="shared" si="27"/>
        <v/>
      </c>
      <c r="K313" t="str">
        <f t="shared" si="28"/>
        <v/>
      </c>
      <c r="L313" s="170" t="s">
        <v>420</v>
      </c>
      <c r="M313" t="str">
        <f t="shared" si="24"/>
        <v/>
      </c>
      <c r="N313"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314" spans="1:14" x14ac:dyDescent="0.25">
      <c r="A314">
        <v>313</v>
      </c>
      <c r="B314" t="s">
        <v>414</v>
      </c>
      <c r="C314" t="s">
        <v>400</v>
      </c>
      <c r="D314" t="s">
        <v>349</v>
      </c>
      <c r="E314" s="204" t="s">
        <v>887</v>
      </c>
      <c r="F314" s="204">
        <v>14196</v>
      </c>
      <c r="G314" t="str">
        <f>LOOKUP(B314,ΠΕΡΙΦΕΡΕΙΑ!$A$2:$A$14,ΠΕΡΙΦΕΡΕΙΑ!$B$2:$B$14)</f>
        <v>Μερική</v>
      </c>
      <c r="H314">
        <f t="shared" si="25"/>
        <v>313</v>
      </c>
      <c r="I314" t="e">
        <f t="shared" si="26"/>
        <v>#NUM!</v>
      </c>
      <c r="J314" t="str">
        <f t="shared" si="27"/>
        <v/>
      </c>
      <c r="K314" t="str">
        <f t="shared" si="28"/>
        <v/>
      </c>
      <c r="L314" s="170" t="s">
        <v>420</v>
      </c>
      <c r="M314" t="str">
        <f t="shared" si="24"/>
        <v/>
      </c>
      <c r="N314"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315" spans="1:14" x14ac:dyDescent="0.25">
      <c r="A315">
        <v>314</v>
      </c>
      <c r="B315" t="s">
        <v>414</v>
      </c>
      <c r="C315" t="s">
        <v>400</v>
      </c>
      <c r="D315" t="s">
        <v>350</v>
      </c>
      <c r="E315" s="204" t="s">
        <v>888</v>
      </c>
      <c r="F315" s="204">
        <v>14234</v>
      </c>
      <c r="G315" t="str">
        <f>LOOKUP(B315,ΠΕΡΙΦΕΡΕΙΑ!$A$2:$A$14,ΠΕΡΙΦΕΡΕΙΑ!$B$2:$B$14)</f>
        <v>Μερική</v>
      </c>
      <c r="H315">
        <f t="shared" si="25"/>
        <v>314</v>
      </c>
      <c r="I315" t="e">
        <f t="shared" si="26"/>
        <v>#NUM!</v>
      </c>
      <c r="J315" t="str">
        <f t="shared" si="27"/>
        <v/>
      </c>
      <c r="K315" t="str">
        <f t="shared" si="28"/>
        <v/>
      </c>
      <c r="L315" s="170" t="s">
        <v>420</v>
      </c>
      <c r="M315" t="str">
        <f t="shared" si="24"/>
        <v/>
      </c>
      <c r="N315"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316" spans="1:14" x14ac:dyDescent="0.25">
      <c r="A316">
        <v>315</v>
      </c>
      <c r="B316" t="s">
        <v>414</v>
      </c>
      <c r="C316" t="s">
        <v>402</v>
      </c>
      <c r="D316" t="s">
        <v>358</v>
      </c>
      <c r="E316" s="204" t="s">
        <v>889</v>
      </c>
      <c r="F316" s="204">
        <v>14236</v>
      </c>
      <c r="G316" t="str">
        <f>LOOKUP(B316,ΠΕΡΙΦΕΡΕΙΑ!$A$2:$A$14,ΠΕΡΙΦΕΡΕΙΑ!$B$2:$B$14)</f>
        <v>Μερική</v>
      </c>
      <c r="H316">
        <f t="shared" si="25"/>
        <v>315</v>
      </c>
      <c r="I316" t="e">
        <f t="shared" si="26"/>
        <v>#NUM!</v>
      </c>
      <c r="J316" t="str">
        <f t="shared" si="27"/>
        <v/>
      </c>
      <c r="K316" t="str">
        <f t="shared" si="28"/>
        <v/>
      </c>
      <c r="L316" s="170" t="s">
        <v>420</v>
      </c>
      <c r="M316" t="str">
        <f t="shared" si="24"/>
        <v/>
      </c>
      <c r="N316"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317" spans="1:14" x14ac:dyDescent="0.25">
      <c r="A317">
        <v>316</v>
      </c>
      <c r="B317" t="s">
        <v>414</v>
      </c>
      <c r="C317" t="s">
        <v>399</v>
      </c>
      <c r="D317" t="s">
        <v>343</v>
      </c>
      <c r="E317" s="204" t="s">
        <v>890</v>
      </c>
      <c r="F317" s="204">
        <v>14250</v>
      </c>
      <c r="G317" t="str">
        <f>LOOKUP(B317,ΠΕΡΙΦΕΡΕΙΑ!$A$2:$A$14,ΠΕΡΙΦΕΡΕΙΑ!$B$2:$B$14)</f>
        <v>Μερική</v>
      </c>
      <c r="H317">
        <f t="shared" si="25"/>
        <v>316</v>
      </c>
      <c r="I317" t="e">
        <f t="shared" si="26"/>
        <v>#NUM!</v>
      </c>
      <c r="J317" t="str">
        <f t="shared" si="27"/>
        <v/>
      </c>
      <c r="K317" t="str">
        <f t="shared" si="28"/>
        <v/>
      </c>
      <c r="L317" s="170" t="s">
        <v>420</v>
      </c>
      <c r="M317" t="str">
        <f t="shared" si="24"/>
        <v/>
      </c>
      <c r="N317"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318" spans="1:14" x14ac:dyDescent="0.25">
      <c r="A318">
        <v>317</v>
      </c>
      <c r="B318" t="s">
        <v>414</v>
      </c>
      <c r="C318" t="s">
        <v>402</v>
      </c>
      <c r="D318" t="s">
        <v>359</v>
      </c>
      <c r="E318" s="204" t="s">
        <v>891</v>
      </c>
      <c r="F318" s="204">
        <v>14242</v>
      </c>
      <c r="G318" t="str">
        <f>LOOKUP(B318,ΠΕΡΙΦΕΡΕΙΑ!$A$2:$A$14,ΠΕΡΙΦΕΡΕΙΑ!$B$2:$B$14)</f>
        <v>Μερική</v>
      </c>
      <c r="H318">
        <f t="shared" si="25"/>
        <v>317</v>
      </c>
      <c r="I318" t="e">
        <f t="shared" si="26"/>
        <v>#NUM!</v>
      </c>
      <c r="J318" t="str">
        <f t="shared" si="27"/>
        <v/>
      </c>
      <c r="K318" t="str">
        <f t="shared" si="28"/>
        <v/>
      </c>
      <c r="L318" s="170" t="s">
        <v>420</v>
      </c>
      <c r="M318" t="str">
        <f t="shared" si="24"/>
        <v/>
      </c>
      <c r="N318"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319" spans="1:14" x14ac:dyDescent="0.25">
      <c r="A319">
        <v>318</v>
      </c>
      <c r="B319" t="s">
        <v>414</v>
      </c>
      <c r="C319" t="s">
        <v>402</v>
      </c>
      <c r="D319" t="s">
        <v>360</v>
      </c>
      <c r="E319" s="204" t="s">
        <v>892</v>
      </c>
      <c r="F319" s="204">
        <v>14262</v>
      </c>
      <c r="G319" t="str">
        <f>LOOKUP(B319,ΠΕΡΙΦΕΡΕΙΑ!$A$2:$A$14,ΠΕΡΙΦΕΡΕΙΑ!$B$2:$B$14)</f>
        <v>Μερική</v>
      </c>
      <c r="H319">
        <f t="shared" si="25"/>
        <v>318</v>
      </c>
      <c r="I319" t="e">
        <f t="shared" si="26"/>
        <v>#NUM!</v>
      </c>
      <c r="J319" t="str">
        <f t="shared" si="27"/>
        <v/>
      </c>
      <c r="K319" t="str">
        <f t="shared" si="28"/>
        <v/>
      </c>
      <c r="L319" s="170" t="s">
        <v>420</v>
      </c>
      <c r="M319" t="str">
        <f t="shared" si="24"/>
        <v/>
      </c>
      <c r="N319"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320" spans="1:14" x14ac:dyDescent="0.25">
      <c r="A320">
        <v>319</v>
      </c>
      <c r="B320" t="s">
        <v>414</v>
      </c>
      <c r="C320" t="s">
        <v>400</v>
      </c>
      <c r="D320" t="s">
        <v>351</v>
      </c>
      <c r="E320" s="204" t="s">
        <v>893</v>
      </c>
      <c r="F320" s="204">
        <v>14276</v>
      </c>
      <c r="G320" t="str">
        <f>LOOKUP(B320,ΠΕΡΙΦΕΡΕΙΑ!$A$2:$A$14,ΠΕΡΙΦΕΡΕΙΑ!$B$2:$B$14)</f>
        <v>Μερική</v>
      </c>
      <c r="H320">
        <f t="shared" si="25"/>
        <v>319</v>
      </c>
      <c r="I320" t="e">
        <f t="shared" si="26"/>
        <v>#NUM!</v>
      </c>
      <c r="J320" t="str">
        <f t="shared" si="27"/>
        <v/>
      </c>
      <c r="K320" t="str">
        <f t="shared" si="28"/>
        <v/>
      </c>
      <c r="L320" s="170" t="s">
        <v>420</v>
      </c>
      <c r="M320" t="str">
        <f t="shared" si="24"/>
        <v/>
      </c>
      <c r="N320"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321" spans="1:14" x14ac:dyDescent="0.25">
      <c r="A321">
        <v>320</v>
      </c>
      <c r="B321" t="s">
        <v>414</v>
      </c>
      <c r="C321" t="s">
        <v>402</v>
      </c>
      <c r="D321" t="s">
        <v>361</v>
      </c>
      <c r="E321" s="204" t="s">
        <v>894</v>
      </c>
      <c r="F321" s="204">
        <v>14308</v>
      </c>
      <c r="G321" t="str">
        <f>LOOKUP(B321,ΠΕΡΙΦΕΡΕΙΑ!$A$2:$A$14,ΠΕΡΙΦΕΡΕΙΑ!$B$2:$B$14)</f>
        <v>Μερική</v>
      </c>
      <c r="H321">
        <f t="shared" si="25"/>
        <v>320</v>
      </c>
      <c r="I321" t="e">
        <f t="shared" si="26"/>
        <v>#NUM!</v>
      </c>
      <c r="J321" t="str">
        <f t="shared" si="27"/>
        <v/>
      </c>
      <c r="K321" t="str">
        <f t="shared" si="28"/>
        <v/>
      </c>
      <c r="L321" s="170" t="s">
        <v>420</v>
      </c>
      <c r="M321" t="str">
        <f t="shared" si="24"/>
        <v/>
      </c>
      <c r="N321"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322" spans="1:14" x14ac:dyDescent="0.25">
      <c r="A322">
        <v>321</v>
      </c>
      <c r="B322" t="s">
        <v>414</v>
      </c>
      <c r="C322" t="s">
        <v>399</v>
      </c>
      <c r="D322" t="s">
        <v>344</v>
      </c>
      <c r="E322" s="204" t="s">
        <v>895</v>
      </c>
      <c r="F322" s="204">
        <v>14356</v>
      </c>
      <c r="G322" t="str">
        <f>LOOKUP(B322,ΠΕΡΙΦΕΡΕΙΑ!$A$2:$A$14,ΠΕΡΙΦΕΡΕΙΑ!$B$2:$B$14)</f>
        <v>Μερική</v>
      </c>
      <c r="H322">
        <f t="shared" si="25"/>
        <v>321</v>
      </c>
      <c r="I322" t="e">
        <f t="shared" si="26"/>
        <v>#NUM!</v>
      </c>
      <c r="J322" t="str">
        <f t="shared" si="27"/>
        <v/>
      </c>
      <c r="K322" t="str">
        <f t="shared" si="28"/>
        <v/>
      </c>
      <c r="L322" s="170" t="s">
        <v>420</v>
      </c>
      <c r="M322" t="str">
        <f t="shared" ref="M322:M326" si="30">IF(K322&lt;&gt;"",IF(L322="ΝΑΙ",J322&amp;" - "&amp;K322&amp;", ",""),"")</f>
        <v/>
      </c>
      <c r="N322"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323" spans="1:14" x14ac:dyDescent="0.25">
      <c r="A323">
        <v>322</v>
      </c>
      <c r="B323" t="s">
        <v>414</v>
      </c>
      <c r="C323" t="s">
        <v>400</v>
      </c>
      <c r="D323" t="s">
        <v>352</v>
      </c>
      <c r="E323" s="204" t="s">
        <v>896</v>
      </c>
      <c r="F323" s="204">
        <v>14474</v>
      </c>
      <c r="G323" t="str">
        <f>LOOKUP(B323,ΠΕΡΙΦΕΡΕΙΑ!$A$2:$A$14,ΠΕΡΙΦΕΡΕΙΑ!$B$2:$B$14)</f>
        <v>Μερική</v>
      </c>
      <c r="H323">
        <f t="shared" ref="H323:H326" si="31">IF(G323="Μερική",A323,"")</f>
        <v>322</v>
      </c>
      <c r="I323" t="e">
        <f t="shared" ref="I323:I326" si="32">SMALL(H:H,A323)</f>
        <v>#NUM!</v>
      </c>
      <c r="J323" t="str">
        <f t="shared" ref="J323:J326" si="33">IF(ISNUMBER(I323),LOOKUP(I323,A:A,B:B),"")</f>
        <v/>
      </c>
      <c r="K323" t="str">
        <f t="shared" ref="K323:K326" si="34">IF(ISNUMBER(I323),LOOKUP(I323,A:A,D:D),"")</f>
        <v/>
      </c>
      <c r="L323" s="170" t="s">
        <v>420</v>
      </c>
      <c r="M323" t="str">
        <f t="shared" si="30"/>
        <v/>
      </c>
      <c r="N323" t="str">
        <f t="shared" si="29"/>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324" spans="1:14" x14ac:dyDescent="0.25">
      <c r="A324">
        <v>323</v>
      </c>
      <c r="B324" t="s">
        <v>414</v>
      </c>
      <c r="C324" t="s">
        <v>402</v>
      </c>
      <c r="D324" t="s">
        <v>362</v>
      </c>
      <c r="E324" s="204" t="s">
        <v>897</v>
      </c>
      <c r="F324" s="204">
        <v>14484</v>
      </c>
      <c r="G324" t="str">
        <f>LOOKUP(B324,ΠΕΡΙΦΕΡΕΙΑ!$A$2:$A$14,ΠΕΡΙΦΕΡΕΙΑ!$B$2:$B$14)</f>
        <v>Μερική</v>
      </c>
      <c r="H324">
        <f t="shared" si="31"/>
        <v>323</v>
      </c>
      <c r="I324" t="e">
        <f t="shared" si="32"/>
        <v>#NUM!</v>
      </c>
      <c r="J324" t="str">
        <f t="shared" si="33"/>
        <v/>
      </c>
      <c r="K324" t="str">
        <f t="shared" si="34"/>
        <v/>
      </c>
      <c r="L324" s="170" t="s">
        <v>420</v>
      </c>
      <c r="M324" t="str">
        <f t="shared" si="30"/>
        <v/>
      </c>
      <c r="N324" t="str">
        <f t="shared" ref="N324:N326" si="35">N323&amp;M324</f>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325" spans="1:14" x14ac:dyDescent="0.25">
      <c r="A325">
        <v>324</v>
      </c>
      <c r="B325" t="s">
        <v>414</v>
      </c>
      <c r="C325" t="s">
        <v>399</v>
      </c>
      <c r="D325" t="s">
        <v>345</v>
      </c>
      <c r="E325" s="204" t="s">
        <v>898</v>
      </c>
      <c r="F325" s="204">
        <v>14444</v>
      </c>
      <c r="G325" t="str">
        <f>LOOKUP(B325,ΠΕΡΙΦΕΡΕΙΑ!$A$2:$A$14,ΠΕΡΙΦΕΡΕΙΑ!$B$2:$B$14)</f>
        <v>Μερική</v>
      </c>
      <c r="H325">
        <f t="shared" si="31"/>
        <v>324</v>
      </c>
      <c r="I325" t="e">
        <f t="shared" si="32"/>
        <v>#NUM!</v>
      </c>
      <c r="J325" t="str">
        <f t="shared" si="33"/>
        <v/>
      </c>
      <c r="K325" t="str">
        <f t="shared" si="34"/>
        <v/>
      </c>
      <c r="L325" s="170" t="s">
        <v>420</v>
      </c>
      <c r="M325" t="str">
        <f t="shared" si="30"/>
        <v/>
      </c>
      <c r="N325" t="str">
        <f t="shared" si="3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row r="326" spans="1:14" x14ac:dyDescent="0.25">
      <c r="A326">
        <v>325</v>
      </c>
      <c r="B326" t="s">
        <v>414</v>
      </c>
      <c r="C326" t="s">
        <v>400</v>
      </c>
      <c r="D326" t="s">
        <v>353</v>
      </c>
      <c r="E326" s="204" t="s">
        <v>899</v>
      </c>
      <c r="F326" s="204">
        <v>14538</v>
      </c>
      <c r="G326" t="str">
        <f>LOOKUP(B326,ΠΕΡΙΦΕΡΕΙΑ!$A$2:$A$14,ΠΕΡΙΦΕΡΕΙΑ!$B$2:$B$14)</f>
        <v>Μερική</v>
      </c>
      <c r="H326">
        <f t="shared" si="31"/>
        <v>325</v>
      </c>
      <c r="I326" t="e">
        <f t="shared" si="32"/>
        <v>#NUM!</v>
      </c>
      <c r="J326" t="str">
        <f t="shared" si="33"/>
        <v/>
      </c>
      <c r="K326" t="str">
        <f t="shared" si="34"/>
        <v/>
      </c>
      <c r="L326" s="170" t="s">
        <v>420</v>
      </c>
      <c r="M326" t="str">
        <f t="shared" si="30"/>
        <v/>
      </c>
      <c r="N326" t="str">
        <f t="shared" si="35"/>
        <v xml:space="preserve">ΑΝΑΤΟΛΙΚΗΣ ΜΑΚΕΔΟΝΙΑΣ ΚΑΙ ΘΡΑΚΗΣ - ΑΛΕΞΑΝΔΡΟΥΠΟΛΗΣ, ΑΝΑΤΟΛΙΚΗΣ ΜΑΚΕΔΟΝΙΑΣ ΚΑΙ ΘΡΑΚΗΣ - ΔΡΑΜΑΣ, ΑΝΑΤΟΛΙΚΗΣ ΜΑΚΕΔΟΝΙΑΣ ΚΑΙ ΘΡΑΚΗΣ - ΚΑΒΑΛΑΣ, ΑΝΑΤΟΛΙΚΗΣ ΜΑΚΕΔΟΝΙΑΣ ΚΑΙ ΘΡΑΚΗΣ - ΚΟΜΟΤΗΝΗΣ, ΑΝΑΤΟΛΙΚΗΣ ΜΑΚΕΔΟΝΙΑΣ ΚΑΙ ΘΡΑΚΗΣ - ΞΑΝΘΗΣ, ΑΤΤΙΚΗΣ - ΑΓΙΑΣ ΒΑΡΒΑΡΑΣ, ΑΤΤΙΚΗΣ - ΑΓΙΑΣ ΠΑΡΑΣΚΕΥΗΣ, ΑΤΤΙΚΗΣ - ΑΓΙΟΥ ΔΗΜΗΤΡΙΟΥ, ΑΤΤΙΚΗΣ - ΑΓΙΩΝ ΑΝΑΡΓΥΡΩΝ – ΚΑΜΑΤΕΡΟΥ, ΑΤΤΙΚΗΣ - ΑΘΗΝΑΙΩΝ, ΑΤΤΙΚΗΣ - ΑΙΓΑΛΕΩ, ΑΤΤΙΚΗΣ - ΑΙΓΙΝΑΣ, ΑΤΤΙΚΗΣ - ΑΛΙΜΟΥ, ΑΤΤΙΚΗΣ - ΑΜΑΡΟΥΣΙΟΥ, ΑΤΤΙΚΗΣ - ΑΣΠΡΟΠΥΡΓΟΥ, ΑΤΤΙΚΗΣ - ΑΧΑΡΝΩΝ, ΑΤΤΙΚΗΣ - ΒΑΡΗΣ – ΒΟΥΛΑΣ – ΒΟΥΛΙΑΓΜΕΝΗΣ, ΑΤΤΙΚΗΣ - ΒΡΙΛΗΣΣΙΩΝ, ΑΤΤΙΚΗΣ - ΒΥΡΩΝΟΣ, ΑΤΤΙΚΗΣ - ΓΑΛΑΤΣΙΟΥ, ΑΤΤΙΚΗΣ - ΓΛΥΦΑΔΑΣ, ΑΤΤΙΚΗΣ - ΔΑΦΝΗΣ – ΥΜΗΤΤΟΥ, ΑΤΤΙΚΗΣ - ΕΛΕΥΣΙΝΑΣ, ΑΤΤΙΚΗΣ - ΕΛΛΗΝΙΚΟΥ – ΑΡΓΥΡΟΥΠΟΛΗΣ, ΑΤΤΙΚΗΣ - ΖΩΓΡΑΦΟΥ, ΑΤΤΙΚΗΣ - ΗΛΙΟΥΠΟΛΕΩΣ, ΑΤΤΙΚΗΣ - ΗΡΑΚΛΕΙΟΥ, ΑΤΤΙΚΗΣ - ΙΛΙΟΥ, ΑΤΤΙΚΗΣ - ΚΑΙΣΑΡΙΑΝΗΣ, ΑΤΤΙΚΗΣ - ΚΑΛΛΙΘΕΑΣ, ΑΤΤΙΚΗΣ - ΚΕΡΑΤΣΙΝΙΟΥ – ΔΡΑΠΕΤΣΩΝΑΣ, ΑΤΤΙΚΗΣ - ΚΗΦΙΣΙΑΣ, ΑΤΤΙΚΗΣ - ΚΟΡΥΔΑΛΛΟΥ, ΑΤΤΙΚΗΣ - ΚΡΩΠΙΑΣ, ΑΤΤΙΚΗΣ - ΛΑΥΡΕΩΤΙΚΗΣ, ΑΤΤΙΚΗΣ - ΛΥΚΟΒΡΥΣΗΣ – ΠΕΥΚΗΣ, ΑΤΤΙΚΗΣ - ΜΑΝΔΡΑΣ – ΕΙΔΥΛΛΙΑΣ, ΑΤΤΙΚΗΣ - ΜΑΡΚΟΠΟΥΛΟΥ ΜΕΣΟΓΑΙΑΣ, ΑΤΤΙΚΗΣ - ΜΕΓΑΡΕΩΝ, ΑΤΤΙΚΗΣ - ΜΕΤΑΜΟΡΦΩΣΕΩΣ, ΑΤΤΙΚΗΣ - ΜΟΣΧΑΤΟΥ – ΤΑΥΡΟΥ, ΑΤΤΙΚΗΣ - ΝΕΑΣ ΙΩΝΙΑΣ, ΑΤΤΙΚΗΣ - ΝΕΑΣ ΣΜΥΡΝΗΣ, ΑΤΤΙΚΗΣ - ΝΙΚΑΙΑΣ – ΑΓΙΟΥ ΙΩΑΝΝΗ ΡΕΝΤΗ, ΑΤΤΙΚΗΣ - ΠΑΙΑΝΙΑΣ, ΑΤΤΙΚΗΣ - ΠΑΛΑΙΟΥ ΦΑΛΗΡΟΥ, ΑΤΤΙΚΗΣ - ΠΑΛΛΗΝΗΣ, ΑΤΤΙΚΗΣ - ΠΑΠΑΓΟΥ – ΧΟΛΑΡΓΟΥ, ΑΤΤΙΚΗΣ - ΠΕΙΡΑΙΩΣ, ΑΤΤΙΚΗΣ - ΠΕΝΤΕΛΗΣ, ΑΤΤΙΚΗΣ - ΠΕΡΑΜΑΤΟΣ, ΑΤΤΙΚΗΣ - ΠΕΡΙΣΤΕΡΙΟΥ, ΑΤΤΙΚΗΣ - ΠΕΤΡΟΥΠΟΛΕΩΣ, ΑΤΤΙΚΗΣ - ΡΑΦΗΝΑΣ – ΠΙΚΕΡΜΙΟΥ, ΑΤΤΙΚΗΣ - ΣΑΛΑΜΙΝΟΣ, ΑΤΤΙΚΗΣ - ΣΠΑΤΩΝ – ΑΡΤΕΜΙΔΟΣ, ΑΤΤΙΚΗΣ - ΦΙΛΑΔΕΛΦΕΙΑΣ – ΧΑΛΚΗΔΟΝΟΣ, ΑΤΤΙΚΗΣ - ΦΙΛΟΘΕΗΣ – ΨΥΧΙΚΟΥ, ΑΤΤΙΚΗΣ - ΧΑΪΔΑΡΙΟΥ, ΑΤΤΙΚΗΣ - ΧΑΛΑΝΔΡΙΟΥ, ΔΥΤΙΚΗΣ ΕΛΛΑΔΑΣ - ΑΓΡΙΝΙΟΥ, ΔΥΤΙΚΗΣ ΕΛΛΑΔΑΣ - ΑΙΓΙΑΛΕΙΑΣ, ΔΥΤΙΚΗΣ ΕΛΛΑΔΑΣ - ΙΕΡΑΣ ΠΟΛΗΣ ΜΕΣΟΛΟΓΓΙΟΥ, ΔΥΤΙΚΗΣ ΕΛΛΑΔΑΣ - ΝΑΥΠΑΚΤΙΑΣ, ΔΥΤΙΚΗΣ ΕΛΛΑΔΑΣ - ΠΑΤΡΕΩΝ, ΔΥΤΙΚΗΣ ΕΛΛΑΔΑΣ - ΠΥΡΓΟΥ, ΔΥΤΙΚΗΣ ΜΑΚΕΔΟΝΙΑΣ - ΑΜΥΝΤΑΙΟΥ, ΔΥΤΙΚΗΣ ΜΑΚΕΔΟΝΙΑΣ - ΒΟΪΟΥ, ΔΥΤΙΚΗΣ ΜΑΚΕΔΟΝΙΑΣ - ΓΡΕΒΕΝΩΝ, ΔΥΤΙΚΗΣ ΜΑΚΕΔΟΝΙΑΣ - ΔΕΣΚΑΤΗΣ, ΔΥΤΙΚΗΣ ΜΑΚΕΔΟΝΙΑΣ - ΕΟΡΔΑΙΑΣ, ΔΥΤΙΚΗΣ ΜΑΚΕΔΟΝΙΑΣ - ΚΑΣΤΟΡΙΑΣ, ΔΥΤΙΚΗΣ ΜΑΚΕΔΟΝΙΑΣ - ΚΟΖΑΝΗΣ, ΔΥΤΙΚΗΣ ΜΑΚΕΔΟΝΙΑΣ - ΝΕΣΤΟΡΙΟΥ, ΔΥΤΙΚΗΣ ΜΑΚΕΔΟΝΙΑΣ - ΟΡΕΣΤΙΔΟΣ, ΔΥΤΙΚΗΣ ΜΑΚΕΔΟΝΙΑΣ - ΣΕΡΒΙΩΝ – ΒΕΛΒΕΝΤΟΥ, ΔΥΤΙΚΗΣ ΜΑΚΕΔΟΝΙΑΣ - ΦΛΩΡΙΝΑΣ, ΗΠΕΙΡΟΥ - ΑΡΤΑΙΩΝ, ΗΠΕΙΡΟΥ - ΖΗΡΟΥ, ΗΠΕΙΡΟΥ - ΖΙΤΣΑΣ, ΗΠΕΙΡΟΥ - ΙΩΑΝΝΙΤΩΝ, ΗΠΕΙΡΟΥ - ΜΕΤΣΟΒΟΥ, ΗΠΕΙΡΟΥ - ΠΡΕΒΕΖΑΣ, ΘΕΣΣΑΛΙΑΣ - ΒΟΛΟΥ, ΘΕΣΣΑΛΙΑΣ - ΚΑΡΔΙΤΣΑΣ, ΘΕΣΣΑΛΙΑΣ - ΛΑΡΙΣΑΙΩΝ, ΘΕΣΣΑΛΙΑΣ - ΤΡΙΚΚΑΙΩΝ, ΙΟΝΙΩΝ ΝΗΣΩΝ - ΚΕΡΚΥΡΑΣ, ΚΕΝΤΡΙΚΗΣ ΜΑΚΕΔΟΝΙΑΣ - ΑΛΕΞΑΝΔΡΕΙΑΣ, ΚΕΝΤΡΙΚΗΣ ΜΑΚΕΔΟΝΙΑΣ - ΑΛΜΩΠΙΑΣ, ΚΕΝΤΡΙΚΗΣ ΜΑΚΕΔΟΝΙΑΣ - ΑΜΠΕΛΟΚΗΠΩΝ – ΜΕΝΕΜΕΝΗΣ, ΚΕΝΤΡΙΚΗΣ ΜΑΚΕΔΟΝΙΑΣ - ΒΕΡΟΙΑΣ, ΚΕΝΤΡΙΚΗΣ ΜΑΚΕΔΟΝΙΑΣ - ΔΕΛΤΑ, ΚΕΝΤΡΙΚΗΣ ΜΑΚΕΔΟΝΙΑΣ - ΕΔΕΣΣΑΣ, ΚΕΝΤΡΙΚΗΣ ΜΑΚΕΔΟΝΙΑΣ - ΘΕΡΜΑΪΚΟΥ, ΚΕΝΤΡΙΚΗΣ ΜΑΚΕΔΟΝΙΑΣ - ΘΕΡΜΗΣ, ΚΕΝΤΡΙΚΗΣ ΜΑΚΕΔΟΝΙΑΣ - ΘΕΣΣΑΛΟΝΙΚΗΣ, ΚΕΝΤΡΙΚΗΣ ΜΑΚΕΔΟΝΙΑΣ - ΚΑΛΑΜΑΡΙΑΣ, ΚΕΝΤΡΙΚΗΣ ΜΑΚΕΔΟΝΙΑΣ - ΚΑΤΕΡΙΝΗΣ, ΚΕΝΤΡΙΚΗΣ ΜΑΚΕΔΟΝΙΑΣ - ΚΙΛΚΙΣ, ΚΕΝΤΡΙΚΗΣ ΜΑΚΕΔΟΝΙΑΣ - ΚΟΡΔΕΛΙΟΥ – ΕΥΟΣΜΟΥ, ΚΕΝΤΡΙΚΗΣ ΜΑΚΕΔΟΝΙΑΣ - ΝΑΟΥΣΑΣ, ΚΕΝΤΡΙΚΗΣ ΜΑΚΕΔΟΝΙΑΣ - ΝΕΑΠΟΛΗΣ – ΣΥΚΕΩΝ, ΚΕΝΤΡΙΚΗΣ ΜΑΚΕΔΟΝΙΑΣ - ΠΑΥΛΟΥ ΜΕΛΑ, ΚΕΝΤΡΙΚΗΣ ΜΑΚΕΔΟΝΙΑΣ - ΠΕΛΛΑΣ, ΚΕΝΤΡΙΚΗΣ ΜΑΚΕΔΟΝΙΑΣ - ΠΥΛΑΙΑΣ – ΧΟΡΤΙΑΤΗ, ΚΕΝΤΡΙΚΗΣ ΜΑΚΕΔΟΝΙΑΣ - ΣΕΡΡΩΝ, ΚΕΝΤΡΙΚΗΣ ΜΑΚΕΔΟΝΙΑΣ - ΣΚΥΔΡΑΣ, ΚΕΝΤΡΙΚΗΣ ΜΑΚΕΔΟΝΙΑΣ - ΧΑΛΚΗΔΟΝΟΣ, ΚΕΝΤΡΙΚΗΣ ΜΑΚΕΔΟΝΙΑΣ - ΩΡΑΙΟΚΑΣΤΡΟΥ, ΚΡΗΤΗΣ - ΑΓΙΟΥ ΝΙΚΟΛΑΟΥ, ΚΡΗΤΗΣ - ΑΝΩΓΕΙΩΝ, ΚΡΗΤΗΣ - ΑΠΟΚΟΡΩΝΟΥ, ΚΡΗΤΗΣ - ΑΡΧΑΝΩΝ – ΑΣΤΕΡΟΥΣΙΩΝ, ΚΡΗΤΗΣ - ΒΙΑΝΝΟΥ, ΚΡΗΤΗΣ - ΓΟΡΤΥΝΑΣ, ΚΡΗΤΗΣ - ΗΡΑΚΛΕΙΟΥ, ΚΡΗΤΗΣ - ΙΕΡΑΠΕΤΡΑΣ, ΚΡΗΤΗΣ - ΜΑΛΕΒΙΖΙΟΥ, ΚΡΗΤΗΣ - ΜΙΝΩΑ ΠΕΔΙΑΔΑΣ, ΚΡΗΤΗΣ - ΜΥΛΟΠΟΤΑΜΟΥ, ΚΡΗΤΗΣ - ΠΛΑΤΑΝΙΑ, ΚΡΗΤΗΣ - ΡΕΘΥΜΝΗΣ, ΚΡΗΤΗΣ - ΣΗΤΕΙΑΣ, ΚΡΗΤΗΣ - ΦΑΙΣΤΟΥ, ΚΡΗΤΗΣ - ΧΑΝΙΩΝ, ΚΡΗΤΗΣ - ΧΕΡΣΟΝΗΣΟΥ, ΠΕΛΟΠΟΝΝΗΣΟΥ - ΑΡΓΟΥΣ – ΜΥΚΗΝΩΝ, ΠΕΛΟΠΟΝΝΗΣΟΥ - ΒΕΛΟΥ – ΒΟΧΑΣ, ΠΕΛΟΠΟΝΝΗΣΟΥ - ΚΑΛΑΜΑΤΑΣ, ΠΕΛΟΠΟΝΝΗΣΟΥ - ΚΟΡΙΝΘΙΩΝ, ΠΕΛΟΠΟΝΝΗΣΟΥ - ΛΟΥΤΡΑΚΙΟΥ – ΑΓΙΩΝ ΘΕΟΔΩΡΩΝ, ΠΕΛΟΠΟΝΝΗΣΟΥ - ΝΑΥΠΛΙΕΩΝ, ΠΕΛΟΠΟΝΝΗΣΟΥ - ΞΥΛΟΚΑΣΤΡΟΥ – ΕΥΡΩΣΤΙΝΗΣ, ΠΕΛΟΠΟΝΝΗΣΟΥ - ΣΙΚΥΩΝΙΩΝ, ΠΕΛΟΠΟΝΝΗΣΟΥ - ΣΠΑΡΤΗΣ, ΠΕΛΟΠΟΝΝΗΣΟΥ - ΤΡΙΠΟΛΗΣ, ΣΤΕΡΕΑΣ ΕΛΛΑΔΑΣ - ΛΑΜΙΕΩΝ, ΣΤΕΡΕΑΣ ΕΛΛΑΔΑΣ - ΧΑΛΚΙΔΕΩΝ, </v>
      </c>
    </row>
  </sheetData>
  <sheetProtection algorithmName="SHA-512" hashValue="tLVTy9Q6xFkHZQmqi6KjIlSQCYJ2fiFmrdX94n7+xkNpOB/Y8oTXeFO1SryP1Rf+pK7Jcj2B9ZtF+YbygsuouA==" saltValue="jEM/9IHNe0KlJoDO0lfu9g==" spinCount="100000" sheet="1" objects="1" scenarios="1" selectLockedCells="1"/>
  <sortState ref="B2:D326">
    <sortCondition ref="B2:B326"/>
    <sortCondition ref="D2:D326"/>
  </sortState>
  <dataValidations count="1">
    <dataValidation type="list" allowBlank="1" showInputMessage="1" showErrorMessage="1" sqref="L2:L326">
      <formula1>DimosCoverage</formula1>
    </dataValidation>
  </dataValidations>
  <hyperlinks>
    <hyperlink ref="D309" r:id="rId1" tooltip="Δήμος Δωρίδας" display="http://www.dimosprofile.gr/media/dimos-doridas/"/>
    <hyperlink ref="D318" r:id="rId2" tooltip="Δήμος Λοκρών" display="http://www.dimosprofile.gr/media/dimos-lokron/"/>
    <hyperlink ref="D315" r:id="rId3" display="http://www.dimosprofile.gr/media/dimos-kymis/"/>
    <hyperlink ref="D314" r:id="rId4" tooltip="Δήμος Καρύστου" display="http://www.dimosprofile.gr/media/dimos-karistou/"/>
    <hyperlink ref="D311" r:id="rId5" display="http://www.dimosprofile.gr/media/dimos-thivas/"/>
    <hyperlink ref="D291" r:id="rId6" tooltip="Δήμος Μονεμβασιάς" display="http://www.dimosprofile.gr/media/dimos-monevasias/"/>
    <hyperlink ref="D294" r:id="rId7" display="http://www.dimosprofile.gr/media/dimos-notias-kinoyrias/"/>
    <hyperlink ref="D249" r:id="rId8" display="http://www.dimosprofile.gr/media/dimos-iou/"/>
    <hyperlink ref="D228" r:id="rId9" display="http://www.dimosprofile.gr/media/dimos-ierapetras/"/>
    <hyperlink ref="D190" r:id="rId10" tooltip="Δήμος Έδεσσας" display="http://www.dimosprofile.gr/media/dimos-edessas/"/>
    <hyperlink ref="D175" r:id="rId11" display="http://www.dimosprofile.gr/media/dimos-kerkyras/"/>
    <hyperlink ref="D154" r:id="rId12" display="http://www.dimosprofile.gr/media/dimos-mouresiou/"/>
    <hyperlink ref="D144" r:id="rId13" tooltip="Δήμος Πρέβεζας" display="http://www.dimosprofile.gr/media/dimos-prevezas/"/>
    <hyperlink ref="D129" r:id="rId14" display="http://www.dimosprofile.gr/media/dimos-florinas/"/>
    <hyperlink ref="D100" r:id="rId15" display="http://www.dimosprofile.gr/media/dimos-aigialias/"/>
    <hyperlink ref="D113" r:id="rId16" display="http://www.dimosprofile.gr/media/dimos-nafpaktias/"/>
    <hyperlink ref="D91" r:id="rId17" tooltip="Δήμος Ικαρίας" display="http://www.dimosprofile.gr/media/dimos-ikarias/"/>
    <hyperlink ref="D81" r:id="rId18" display="http://www.dimosprofile.gr/media/dimos-spetson/"/>
    <hyperlink ref="D21" r:id="rId19" tooltip="Δήμος Σαμοθράκης" display="http://www.dimosprofile.gr/media/dimos-samothrakis/"/>
  </hyperlinks>
  <pageMargins left="0.7" right="0.7" top="0.75" bottom="0.75" header="0.3" footer="0.3"/>
  <pageSetup paperSize="9" orientation="portrait" r:id="rId20"/>
  <extLst>
    <ext xmlns:x14="http://schemas.microsoft.com/office/spreadsheetml/2009/9/main" uri="{78C0D931-6437-407d-A8EE-F0AAD7539E65}">
      <x14:conditionalFormattings>
        <x14:conditionalFormatting xmlns:xm="http://schemas.microsoft.com/office/excel/2006/main">
          <x14:cfRule type="cellIs" priority="4" operator="equal" id="{24611733-2750-49E4-9C56-41658A63B3DA}">
            <xm:f>Lists!$G$4</xm:f>
            <x14:dxf>
              <font>
                <color rgb="FF9C0006"/>
              </font>
              <fill>
                <patternFill>
                  <bgColor rgb="FFFFC7CE"/>
                </patternFill>
              </fill>
            </x14:dxf>
          </x14:cfRule>
          <x14:cfRule type="cellIs" priority="5" operator="equal" id="{6FC7B71B-0517-41D5-ACFB-7D3C5A9D9304}">
            <xm:f>Lists!$G$3</xm:f>
            <x14:dxf>
              <font>
                <color rgb="FF006100"/>
              </font>
              <fill>
                <patternFill>
                  <bgColor rgb="FFC6EFCE"/>
                </patternFill>
              </fill>
            </x14:dxf>
          </x14:cfRule>
          <xm:sqref>L2:L1048576</xm:sqref>
        </x14:conditionalFormatting>
        <x14:conditionalFormatting xmlns:xm="http://schemas.microsoft.com/office/excel/2006/main">
          <x14:cfRule type="cellIs" priority="1" operator="equal" id="{D27E9CC4-C14A-4B3D-98B7-5E2AC41D0116}">
            <xm:f>Lists!$F$4</xm:f>
            <x14:dxf>
              <font>
                <color rgb="FF006100"/>
              </font>
              <fill>
                <patternFill>
                  <bgColor rgb="FFC6EFCE"/>
                </patternFill>
              </fill>
            </x14:dxf>
          </x14:cfRule>
          <x14:cfRule type="cellIs" priority="2" operator="equal" id="{505C78A1-39F9-49BA-A1E2-15C311C2113D}">
            <xm:f>Lists!$F$3</xm:f>
            <x14:dxf>
              <font>
                <color rgb="FF9C6500"/>
              </font>
              <fill>
                <patternFill>
                  <bgColor rgb="FFFFEB9C"/>
                </patternFill>
              </fill>
            </x14:dxf>
          </x14:cfRule>
          <x14:cfRule type="cellIs" priority="3" operator="equal" id="{BFB5E7D4-83A3-4E30-A073-85E66B105594}">
            <xm:f>Lists!$F$5</xm:f>
            <x14:dxf>
              <font>
                <color rgb="FF9C0006"/>
              </font>
              <fill>
                <patternFill>
                  <bgColor rgb="FFFFC7CE"/>
                </patternFill>
              </fill>
            </x14:dxf>
          </x14:cfRule>
          <xm:sqref>L1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6"/>
  <sheetViews>
    <sheetView showGridLines="0" workbookViewId="0">
      <selection activeCell="G326" sqref="G326"/>
    </sheetView>
  </sheetViews>
  <sheetFormatPr defaultRowHeight="15" zeroHeight="1" x14ac:dyDescent="0.25"/>
  <cols>
    <col min="1" max="1" width="9.140625" style="206" customWidth="1"/>
    <col min="2" max="4" width="37.140625" customWidth="1"/>
    <col min="5" max="5" width="65.42578125" customWidth="1"/>
    <col min="6" max="6" width="30" style="204" customWidth="1"/>
    <col min="7" max="7" width="6" style="204" bestFit="1" customWidth="1"/>
    <col min="8" max="8" width="16.140625" customWidth="1"/>
    <col min="9" max="9" width="24" customWidth="1"/>
    <col min="10" max="10" width="26.7109375" customWidth="1"/>
    <col min="11" max="11" width="9.140625" style="206" customWidth="1"/>
    <col min="12" max="12" width="46.42578125" style="84" customWidth="1"/>
    <col min="13" max="13" width="58.28515625" style="84" customWidth="1"/>
    <col min="14" max="14" width="8.42578125" style="84" bestFit="1" customWidth="1"/>
    <col min="15" max="15" width="23.42578125" style="84" customWidth="1"/>
    <col min="16" max="16384" width="9.140625" style="84"/>
  </cols>
  <sheetData>
    <row r="1" spans="1:15" x14ac:dyDescent="0.25">
      <c r="A1" s="207" t="s">
        <v>417</v>
      </c>
      <c r="B1" s="25" t="s">
        <v>415</v>
      </c>
      <c r="C1" s="25" t="s">
        <v>38</v>
      </c>
      <c r="D1" s="25" t="s">
        <v>416</v>
      </c>
      <c r="E1" s="25"/>
      <c r="F1" s="25"/>
      <c r="G1" s="25"/>
      <c r="H1" s="25"/>
      <c r="I1" s="26"/>
      <c r="J1" s="26"/>
      <c r="K1" s="205"/>
      <c r="L1" s="25" t="s">
        <v>415</v>
      </c>
      <c r="M1" s="25" t="s">
        <v>496</v>
      </c>
      <c r="N1" s="25"/>
      <c r="O1" s="25"/>
    </row>
    <row r="2" spans="1:15" x14ac:dyDescent="0.25">
      <c r="A2" s="206">
        <v>1</v>
      </c>
      <c r="B2" t="s">
        <v>39</v>
      </c>
      <c r="C2" t="s">
        <v>57</v>
      </c>
      <c r="D2" t="s">
        <v>55</v>
      </c>
      <c r="E2" t="str">
        <f t="shared" ref="E2:E65" si="0">B2&amp;" - "&amp;D2&amp;", "</f>
        <v xml:space="preserve">ΑΝΑΤΟΛΙΚΗΣ ΜΑΚΕΔΟΝΙΑΣ ΚΑΙ ΘΡΑΚΗΣ - ΑΒΔΗΡΩΝ, </v>
      </c>
      <c r="F2" s="232" t="s">
        <v>576</v>
      </c>
      <c r="G2" s="232">
        <v>13920</v>
      </c>
      <c r="H2" t="str">
        <f>IFERROR(INDEX(DimosNaiOxi,MATCH(ΤΚ!E2,DimosNai,0)),"")</f>
        <v/>
      </c>
      <c r="I2" t="str">
        <f>LOOKUP(B2,ΠΕΡΙΦΕΡΕΙΑ!$A$2:$A$14,ΠΕΡΙΦΕΡΕΙΑ!$B$2:$B$14)</f>
        <v>Μερική</v>
      </c>
      <c r="J2" t="str">
        <f>IF(OR(AND(I2="Μερική",H2="ΝΑΙ"),I2="Ολική"),A2,"")</f>
        <v/>
      </c>
      <c r="K2" s="206">
        <f t="shared" ref="K2:K65" si="1">SMALL(J:J,A2)</f>
        <v>2</v>
      </c>
      <c r="L2" t="str">
        <f t="shared" ref="L2:L65" si="2">IF(ISNUMBER(K2),LOOKUP(K2,A:A,B:B),"")</f>
        <v>ΑΝΑΤΟΛΙΚΗΣ ΜΑΚΕΔΟΝΙΑΣ ΚΑΙ ΘΡΑΚΗΣ</v>
      </c>
      <c r="M2" t="str">
        <f t="shared" ref="M2:M65" si="3">IF(ISNUMBER(K2),LOOKUP(K2,A:A,B:B)&amp;" - "&amp;LOOKUP(K2,A:A,D:D),"")</f>
        <v>ΑΝΑΤΟΛΙΚΗΣ ΜΑΚΕΔΟΝΙΑΣ ΚΑΙ ΘΡΑΚΗΣ - ΑΛΕΞΑΝΔΡΟΥΠΟΛΗΣ</v>
      </c>
      <c r="N2" s="204">
        <f t="shared" ref="N2:N66" si="4">IF(ISNUMBER(K2),LOOKUP(K2,A:A,G:G),"")</f>
        <v>13956</v>
      </c>
      <c r="O2" s="204" t="str">
        <f>IF(ISNUMBER(K2),LOOKUP(K2,A:A,F:F),"")</f>
        <v>Αλεξανδρούπολης</v>
      </c>
    </row>
    <row r="3" spans="1:15" x14ac:dyDescent="0.25">
      <c r="A3" s="206">
        <v>2</v>
      </c>
      <c r="B3" t="s">
        <v>39</v>
      </c>
      <c r="C3" t="s">
        <v>365</v>
      </c>
      <c r="D3" t="s">
        <v>46</v>
      </c>
      <c r="E3" t="str">
        <f t="shared" si="0"/>
        <v xml:space="preserve">ΑΝΑΤΟΛΙΚΗΣ ΜΑΚΕΔΟΝΙΑΣ ΚΑΙ ΘΡΑΚΗΣ - ΑΛΕΞΑΝΔΡΟΥΠΟΛΗΣ, </v>
      </c>
      <c r="F3" s="232" t="s">
        <v>577</v>
      </c>
      <c r="G3" s="232">
        <v>13956</v>
      </c>
      <c r="H3" t="str">
        <f>IFERROR(INDEX(DimosNaiOxi,MATCH(ΤΚ!E3,DimosNai,0)),"")</f>
        <v>ΝΑΙ</v>
      </c>
      <c r="I3" t="str">
        <f>LOOKUP(B3,ΠΕΡΙΦΕΡΕΙΑ!$A$2:$A$14,ΠΕΡΙΦΕΡΕΙΑ!$B$2:$B$14)</f>
        <v>Μερική</v>
      </c>
      <c r="J3">
        <f t="shared" ref="J3:J66" si="5">IF(OR(AND(I3="Μερική",H3="ΝΑΙ"),I3="Ολική"),A3,"")</f>
        <v>2</v>
      </c>
      <c r="K3" s="206">
        <f t="shared" si="1"/>
        <v>6</v>
      </c>
      <c r="L3" t="str">
        <f t="shared" si="2"/>
        <v>ΑΝΑΤΟΛΙΚΗΣ ΜΑΚΕΔΟΝΙΑΣ ΚΑΙ ΘΡΑΚΗΣ</v>
      </c>
      <c r="M3" t="str">
        <f t="shared" si="3"/>
        <v>ΑΝΑΤΟΛΙΚΗΣ ΜΑΚΕΔΟΝΙΑΣ ΚΑΙ ΘΡΑΚΗΣ - ΔΡΑΜΑΣ</v>
      </c>
      <c r="N3" s="204">
        <f t="shared" si="4"/>
        <v>14074</v>
      </c>
      <c r="O3" s="204" t="str">
        <f t="shared" ref="O3:O66" si="6">IF(ISNUMBER(K3),LOOKUP(K3,A:A,F:F),"")</f>
        <v>Δράμας</v>
      </c>
    </row>
    <row r="4" spans="1:15" x14ac:dyDescent="0.25">
      <c r="A4" s="206">
        <v>3</v>
      </c>
      <c r="B4" t="s">
        <v>39</v>
      </c>
      <c r="C4" t="s">
        <v>366</v>
      </c>
      <c r="D4" t="s">
        <v>59</v>
      </c>
      <c r="E4" t="str">
        <f t="shared" si="0"/>
        <v xml:space="preserve">ΑΝΑΤΟΛΙΚΗΣ ΜΑΚΕΔΟΝΙΑΣ ΚΑΙ ΘΡΑΚΗΣ - ΑΡΡΙΑΝΩΝ, </v>
      </c>
      <c r="F4" s="232" t="s">
        <v>578</v>
      </c>
      <c r="G4" s="232">
        <v>14000</v>
      </c>
      <c r="H4" t="str">
        <f>IFERROR(INDEX(DimosNaiOxi,MATCH(ΤΚ!E4,DimosNai,0)),"")</f>
        <v/>
      </c>
      <c r="I4" t="str">
        <f>LOOKUP(B4,ΠΕΡΙΦΕΡΕΙΑ!$A$2:$A$14,ΠΕΡΙΦΕΡΕΙΑ!$B$2:$B$14)</f>
        <v>Μερική</v>
      </c>
      <c r="J4" t="str">
        <f t="shared" si="5"/>
        <v/>
      </c>
      <c r="K4" s="206">
        <f t="shared" si="1"/>
        <v>9</v>
      </c>
      <c r="L4" t="str">
        <f t="shared" si="2"/>
        <v>ΑΝΑΤΟΛΙΚΗΣ ΜΑΚΕΔΟΝΙΑΣ ΚΑΙ ΘΡΑΚΗΣ</v>
      </c>
      <c r="M4" t="str">
        <f t="shared" si="3"/>
        <v>ΑΝΑΤΟΛΙΚΗΣ ΜΑΚΕΔΟΝΙΑΣ ΚΑΙ ΘΡΑΚΗΣ - ΚΑΒΑΛΑΣ</v>
      </c>
      <c r="N4" s="204">
        <f t="shared" si="4"/>
        <v>14174</v>
      </c>
      <c r="O4" s="204" t="str">
        <f t="shared" si="6"/>
        <v>Καβάλας</v>
      </c>
    </row>
    <row r="5" spans="1:15" x14ac:dyDescent="0.25">
      <c r="A5" s="206">
        <v>4</v>
      </c>
      <c r="B5" t="s">
        <v>39</v>
      </c>
      <c r="C5" t="s">
        <v>365</v>
      </c>
      <c r="D5" t="s">
        <v>47</v>
      </c>
      <c r="E5" t="str">
        <f t="shared" si="0"/>
        <v xml:space="preserve">ΑΝΑΤΟΛΙΚΗΣ ΜΑΚΕΔΟΝΙΑΣ ΚΑΙ ΘΡΑΚΗΣ - ΔΙΔΥΜΟΤΕΙΧΟΥ, </v>
      </c>
      <c r="F5" s="232" t="s">
        <v>579</v>
      </c>
      <c r="G5" s="232">
        <v>14062</v>
      </c>
      <c r="H5" t="str">
        <f>IFERROR(INDEX(DimosNaiOxi,MATCH(ΤΚ!E5,DimosNai,0)),"")</f>
        <v/>
      </c>
      <c r="I5" t="str">
        <f>LOOKUP(B5,ΠΕΡΙΦΕΡΕΙΑ!$A$2:$A$14,ΠΕΡΙΦΕΡΕΙΑ!$B$2:$B$14)</f>
        <v>Μερική</v>
      </c>
      <c r="J5" t="str">
        <f t="shared" si="5"/>
        <v/>
      </c>
      <c r="K5" s="206">
        <f t="shared" si="1"/>
        <v>11</v>
      </c>
      <c r="L5" t="str">
        <f t="shared" si="2"/>
        <v>ΑΝΑΤΟΛΙΚΗΣ ΜΑΚΕΔΟΝΙΑΣ ΚΑΙ ΘΡΑΚΗΣ</v>
      </c>
      <c r="M5" t="str">
        <f t="shared" si="3"/>
        <v>ΑΝΑΤΟΛΙΚΗΣ ΜΑΚΕΔΟΝΙΑΣ ΚΑΙ ΘΡΑΚΗΣ - ΚΟΜΟΤΗΝΗΣ</v>
      </c>
      <c r="N5" s="204">
        <f t="shared" si="4"/>
        <v>14224</v>
      </c>
      <c r="O5" s="204" t="str">
        <f t="shared" si="6"/>
        <v>Κομοτηνής</v>
      </c>
    </row>
    <row r="6" spans="1:15" x14ac:dyDescent="0.25">
      <c r="A6" s="206">
        <v>5</v>
      </c>
      <c r="B6" t="s">
        <v>39</v>
      </c>
      <c r="C6" t="s">
        <v>42</v>
      </c>
      <c r="D6" t="s">
        <v>41</v>
      </c>
      <c r="E6" t="str">
        <f t="shared" si="0"/>
        <v xml:space="preserve">ΑΝΑΤΟΛΙΚΗΣ ΜΑΚΕΔΟΝΙΑΣ ΚΑΙ ΘΡΑΚΗΣ - ΔΟΞΑΤΟΥ, </v>
      </c>
      <c r="F6" s="232" t="s">
        <v>580</v>
      </c>
      <c r="G6" s="232">
        <v>14072</v>
      </c>
      <c r="H6" t="str">
        <f>IFERROR(INDEX(DimosNaiOxi,MATCH(ΤΚ!E6,DimosNai,0)),"")</f>
        <v/>
      </c>
      <c r="I6" t="str">
        <f>LOOKUP(B6,ΠΕΡΙΦΕΡΕΙΑ!$A$2:$A$14,ΠΕΡΙΦΕΡΕΙΑ!$B$2:$B$14)</f>
        <v>Μερική</v>
      </c>
      <c r="J6" t="str">
        <f t="shared" si="5"/>
        <v/>
      </c>
      <c r="K6" s="206">
        <f t="shared" si="1"/>
        <v>15</v>
      </c>
      <c r="L6" t="str">
        <f t="shared" si="2"/>
        <v>ΑΝΑΤΟΛΙΚΗΣ ΜΑΚΕΔΟΝΙΑΣ ΚΑΙ ΘΡΑΚΗΣ</v>
      </c>
      <c r="M6" t="str">
        <f t="shared" si="3"/>
        <v>ΑΝΑΤΟΛΙΚΗΣ ΜΑΚΕΔΟΝΙΑΣ ΚΑΙ ΘΡΑΚΗΣ - ΞΑΝΘΗΣ</v>
      </c>
      <c r="N6" s="204">
        <f t="shared" si="4"/>
        <v>14346</v>
      </c>
      <c r="O6" s="204" t="str">
        <f t="shared" si="6"/>
        <v>Ξάνθης</v>
      </c>
    </row>
    <row r="7" spans="1:15" x14ac:dyDescent="0.25">
      <c r="A7" s="206">
        <v>6</v>
      </c>
      <c r="B7" t="s">
        <v>39</v>
      </c>
      <c r="C7" t="s">
        <v>42</v>
      </c>
      <c r="D7" t="s">
        <v>42</v>
      </c>
      <c r="E7" t="str">
        <f t="shared" si="0"/>
        <v xml:space="preserve">ΑΝΑΤΟΛΙΚΗΣ ΜΑΚΕΔΟΝΙΑΣ ΚΑΙ ΘΡΑΚΗΣ - ΔΡΑΜΑΣ, </v>
      </c>
      <c r="F7" s="232" t="s">
        <v>581</v>
      </c>
      <c r="G7" s="232">
        <v>14074</v>
      </c>
      <c r="H7" t="str">
        <f>IFERROR(INDEX(DimosNaiOxi,MATCH(ΤΚ!E7,DimosNai,0)),"")</f>
        <v>ΝΑΙ</v>
      </c>
      <c r="I7" t="str">
        <f>LOOKUP(B7,ΠΕΡΙΦΕΡΕΙΑ!$A$2:$A$14,ΠΕΡΙΦΕΡΕΙΑ!$B$2:$B$14)</f>
        <v>Μερική</v>
      </c>
      <c r="J7">
        <f t="shared" si="5"/>
        <v>6</v>
      </c>
      <c r="K7" s="206">
        <f t="shared" si="1"/>
        <v>23</v>
      </c>
      <c r="L7" t="str">
        <f t="shared" si="2"/>
        <v>ΑΤΤΙΚΗΣ</v>
      </c>
      <c r="M7" t="str">
        <f t="shared" si="3"/>
        <v>ΑΤΤΙΚΗΣ - ΑΓΙΑΣ ΒΑΡΒΑΡΑΣ</v>
      </c>
      <c r="N7" s="204">
        <f t="shared" si="4"/>
        <v>13922</v>
      </c>
      <c r="O7" s="204" t="str">
        <f t="shared" si="6"/>
        <v>Αγίας Βαρβάρας</v>
      </c>
    </row>
    <row r="8" spans="1:15" x14ac:dyDescent="0.25">
      <c r="A8" s="206">
        <v>7</v>
      </c>
      <c r="B8" t="s">
        <v>39</v>
      </c>
      <c r="C8" t="s">
        <v>51</v>
      </c>
      <c r="D8" t="s">
        <v>51</v>
      </c>
      <c r="E8" t="str">
        <f t="shared" si="0"/>
        <v xml:space="preserve">ΑΝΑΤΟΛΙΚΗΣ ΜΑΚΕΔΟΝΙΑΣ ΚΑΙ ΘΡΑΚΗΣ - ΘΑΣΟΥ, </v>
      </c>
      <c r="F8" s="232" t="s">
        <v>582</v>
      </c>
      <c r="G8" s="232">
        <v>14128</v>
      </c>
      <c r="H8" t="str">
        <f>IFERROR(INDEX(DimosNaiOxi,MATCH(ΤΚ!E8,DimosNai,0)),"")</f>
        <v/>
      </c>
      <c r="I8" t="str">
        <f>LOOKUP(B8,ΠΕΡΙΦΕΡΕΙΑ!$A$2:$A$14,ΠΕΡΙΦΕΡΕΙΑ!$B$2:$B$14)</f>
        <v>Μερική</v>
      </c>
      <c r="J8" t="str">
        <f t="shared" si="5"/>
        <v/>
      </c>
      <c r="K8" s="206">
        <f t="shared" si="1"/>
        <v>24</v>
      </c>
      <c r="L8" t="str">
        <f t="shared" si="2"/>
        <v>ΑΤΤΙΚΗΣ</v>
      </c>
      <c r="M8" t="str">
        <f t="shared" si="3"/>
        <v>ΑΤΤΙΚΗΣ - ΑΓΙΑΣ ΠΑΡΑΣΚΕΥΗΣ</v>
      </c>
      <c r="N8" s="204">
        <f t="shared" si="4"/>
        <v>13924</v>
      </c>
      <c r="O8" s="204" t="str">
        <f t="shared" si="6"/>
        <v>Αγίας Παρασκευής</v>
      </c>
    </row>
    <row r="9" spans="1:15" x14ac:dyDescent="0.25">
      <c r="A9" s="206">
        <v>8</v>
      </c>
      <c r="B9" t="s">
        <v>39</v>
      </c>
      <c r="C9" t="s">
        <v>366</v>
      </c>
      <c r="D9" t="s">
        <v>60</v>
      </c>
      <c r="E9" t="str">
        <f t="shared" si="0"/>
        <v xml:space="preserve">ΑΝΑΤΟΛΙΚΗΣ ΜΑΚΕΔΟΝΙΑΣ ΚΑΙ ΘΡΑΚΗΣ - ΙΑΣΜΟΥ, </v>
      </c>
      <c r="F9" s="232" t="s">
        <v>583</v>
      </c>
      <c r="G9" s="232">
        <v>14142</v>
      </c>
      <c r="H9" t="str">
        <f>IFERROR(INDEX(DimosNaiOxi,MATCH(ΤΚ!E9,DimosNai,0)),"")</f>
        <v/>
      </c>
      <c r="I9" t="str">
        <f>LOOKUP(B9,ΠΕΡΙΦΕΡΕΙΑ!$A$2:$A$14,ΠΕΡΙΦΕΡΕΙΑ!$B$2:$B$14)</f>
        <v>Μερική</v>
      </c>
      <c r="J9" t="str">
        <f t="shared" si="5"/>
        <v/>
      </c>
      <c r="K9" s="206">
        <f t="shared" si="1"/>
        <v>25</v>
      </c>
      <c r="L9" t="str">
        <f t="shared" si="2"/>
        <v>ΑΤΤΙΚΗΣ</v>
      </c>
      <c r="M9" t="str">
        <f t="shared" si="3"/>
        <v>ΑΤΤΙΚΗΣ - ΑΓΙΟΥ ΔΗΜΗΤΡΙΟΥ</v>
      </c>
      <c r="N9" s="204">
        <f t="shared" si="4"/>
        <v>13928</v>
      </c>
      <c r="O9" s="204" t="str">
        <f t="shared" si="6"/>
        <v>Αγίου Δημητρίου</v>
      </c>
    </row>
    <row r="10" spans="1:15" x14ac:dyDescent="0.25">
      <c r="A10" s="206">
        <v>9</v>
      </c>
      <c r="B10" t="s">
        <v>39</v>
      </c>
      <c r="C10" t="s">
        <v>52</v>
      </c>
      <c r="D10" t="s">
        <v>52</v>
      </c>
      <c r="E10" t="str">
        <f t="shared" si="0"/>
        <v xml:space="preserve">ΑΝΑΤΟΛΙΚΗΣ ΜΑΚΕΔΟΝΙΑΣ ΚΑΙ ΘΡΑΚΗΣ - ΚΑΒΑΛΑΣ, </v>
      </c>
      <c r="F10" s="232" t="s">
        <v>584</v>
      </c>
      <c r="G10" s="232">
        <v>14174</v>
      </c>
      <c r="H10" t="str">
        <f>IFERROR(INDEX(DimosNaiOxi,MATCH(ΤΚ!E10,DimosNai,0)),"")</f>
        <v>ΝΑΙ</v>
      </c>
      <c r="I10" t="str">
        <f>LOOKUP(B10,ΠΕΡΙΦΕΡΕΙΑ!$A$2:$A$14,ΠΕΡΙΦΕΡΕΙΑ!$B$2:$B$14)</f>
        <v>Μερική</v>
      </c>
      <c r="J10">
        <f t="shared" si="5"/>
        <v>9</v>
      </c>
      <c r="K10" s="206">
        <f t="shared" si="1"/>
        <v>26</v>
      </c>
      <c r="L10" t="str">
        <f t="shared" si="2"/>
        <v>ΑΤΤΙΚΗΣ</v>
      </c>
      <c r="M10" t="str">
        <f t="shared" si="3"/>
        <v>ΑΤΤΙΚΗΣ - ΑΓΙΩΝ ΑΝΑΡΓΥΡΩΝ – ΚΑΜΑΤΕΡΟΥ</v>
      </c>
      <c r="N10" s="204">
        <f t="shared" si="4"/>
        <v>13934</v>
      </c>
      <c r="O10" s="204" t="str">
        <f t="shared" si="6"/>
        <v>Αγίων Αναργύρων - Καματερού</v>
      </c>
    </row>
    <row r="11" spans="1:15" x14ac:dyDescent="0.25">
      <c r="A11" s="206">
        <v>10</v>
      </c>
      <c r="B11" t="s">
        <v>39</v>
      </c>
      <c r="C11" t="s">
        <v>42</v>
      </c>
      <c r="D11" t="s">
        <v>43</v>
      </c>
      <c r="E11" t="str">
        <f t="shared" si="0"/>
        <v xml:space="preserve">ΑΝΑΤΟΛΙΚΗΣ ΜΑΚΕΔΟΝΙΑΣ ΚΑΙ ΘΡΑΚΗΣ - ΚΑΤΩ ΝΕΥΡΟΚΟΠΙΟΥ, </v>
      </c>
      <c r="F11" s="232" t="s">
        <v>585</v>
      </c>
      <c r="G11" s="232">
        <v>14162</v>
      </c>
      <c r="H11" t="str">
        <f>IFERROR(INDEX(DimosNaiOxi,MATCH(ΤΚ!E11,DimosNai,0)),"")</f>
        <v/>
      </c>
      <c r="I11" t="str">
        <f>LOOKUP(B11,ΠΕΡΙΦΕΡΕΙΑ!$A$2:$A$14,ΠΕΡΙΦΕΡΕΙΑ!$B$2:$B$14)</f>
        <v>Μερική</v>
      </c>
      <c r="J11" t="str">
        <f t="shared" si="5"/>
        <v/>
      </c>
      <c r="K11" s="206">
        <f t="shared" si="1"/>
        <v>28</v>
      </c>
      <c r="L11" t="str">
        <f t="shared" si="2"/>
        <v>ΑΤΤΙΚΗΣ</v>
      </c>
      <c r="M11" t="str">
        <f t="shared" si="3"/>
        <v>ΑΤΤΙΚΗΣ - ΑΘΗΝΑΙΩΝ</v>
      </c>
      <c r="N11" s="204">
        <f t="shared" si="4"/>
        <v>13946</v>
      </c>
      <c r="O11" s="204" t="str">
        <f t="shared" si="6"/>
        <v>Αθηναίων</v>
      </c>
    </row>
    <row r="12" spans="1:15" x14ac:dyDescent="0.25">
      <c r="A12" s="206">
        <v>11</v>
      </c>
      <c r="B12" t="s">
        <v>39</v>
      </c>
      <c r="C12" t="s">
        <v>366</v>
      </c>
      <c r="D12" t="s">
        <v>61</v>
      </c>
      <c r="E12" t="str">
        <f t="shared" si="0"/>
        <v xml:space="preserve">ΑΝΑΤΟΛΙΚΗΣ ΜΑΚΕΔΟΝΙΑΣ ΚΑΙ ΘΡΑΚΗΣ - ΚΟΜΟΤΗΝΗΣ, </v>
      </c>
      <c r="F12" s="232" t="s">
        <v>586</v>
      </c>
      <c r="G12" s="232">
        <v>14224</v>
      </c>
      <c r="H12" t="str">
        <f>IFERROR(INDEX(DimosNaiOxi,MATCH(ΤΚ!E12,DimosNai,0)),"")</f>
        <v>ΝΑΙ</v>
      </c>
      <c r="I12" t="str">
        <f>LOOKUP(B12,ΠΕΡΙΦΕΡΕΙΑ!$A$2:$A$14,ΠΕΡΙΦΕΡΕΙΑ!$B$2:$B$14)</f>
        <v>Μερική</v>
      </c>
      <c r="J12">
        <f t="shared" si="5"/>
        <v>11</v>
      </c>
      <c r="K12" s="206">
        <f t="shared" si="1"/>
        <v>29</v>
      </c>
      <c r="L12" t="str">
        <f t="shared" si="2"/>
        <v>ΑΤΤΙΚΗΣ</v>
      </c>
      <c r="M12" t="str">
        <f t="shared" si="3"/>
        <v>ΑΤΤΙΚΗΣ - ΑΙΓΑΛΕΩ</v>
      </c>
      <c r="N12" s="204">
        <f t="shared" si="4"/>
        <v>13948</v>
      </c>
      <c r="O12" s="204" t="str">
        <f t="shared" si="6"/>
        <v>Αιγάλεω</v>
      </c>
    </row>
    <row r="13" spans="1:15" x14ac:dyDescent="0.25">
      <c r="A13" s="206">
        <v>12</v>
      </c>
      <c r="B13" t="s">
        <v>39</v>
      </c>
      <c r="C13" t="s">
        <v>366</v>
      </c>
      <c r="D13" t="s">
        <v>62</v>
      </c>
      <c r="E13" t="str">
        <f t="shared" si="0"/>
        <v xml:space="preserve">ΑΝΑΤΟΛΙΚΗΣ ΜΑΚΕΔΟΝΙΑΣ ΚΑΙ ΘΡΑΚΗΣ - ΜΑΡΩΝΕΙΑΣ – ΣΑΠΩΝ, </v>
      </c>
      <c r="F13" s="232" t="s">
        <v>587</v>
      </c>
      <c r="G13" s="232">
        <v>14284</v>
      </c>
      <c r="H13" t="str">
        <f>IFERROR(INDEX(DimosNaiOxi,MATCH(ΤΚ!E13,DimosNai,0)),"")</f>
        <v/>
      </c>
      <c r="I13" t="str">
        <f>LOOKUP(B13,ΠΕΡΙΦΕΡΕΙΑ!$A$2:$A$14,ΠΕΡΙΦΕΡΕΙΑ!$B$2:$B$14)</f>
        <v>Μερική</v>
      </c>
      <c r="J13" t="str">
        <f t="shared" si="5"/>
        <v/>
      </c>
      <c r="K13" s="206">
        <f t="shared" si="1"/>
        <v>30</v>
      </c>
      <c r="L13" t="str">
        <f t="shared" si="2"/>
        <v>ΑΤΤΙΚΗΣ</v>
      </c>
      <c r="M13" t="str">
        <f t="shared" si="3"/>
        <v>ΑΤΤΙΚΗΣ - ΑΙΓΙΝΑΣ</v>
      </c>
      <c r="N13" s="204">
        <f t="shared" si="4"/>
        <v>13918</v>
      </c>
      <c r="O13" s="204" t="str">
        <f t="shared" si="6"/>
        <v>Αίγινας</v>
      </c>
    </row>
    <row r="14" spans="1:15" x14ac:dyDescent="0.25">
      <c r="A14" s="206">
        <v>13</v>
      </c>
      <c r="B14" t="s">
        <v>39</v>
      </c>
      <c r="C14" t="s">
        <v>57</v>
      </c>
      <c r="D14" t="s">
        <v>56</v>
      </c>
      <c r="E14" t="str">
        <f t="shared" si="0"/>
        <v xml:space="preserve">ΑΝΑΤΟΛΙΚΗΣ ΜΑΚΕΔΟΝΙΑΣ ΚΑΙ ΘΡΑΚΗΣ - ΜΥΚΗΣ, </v>
      </c>
      <c r="F14" s="232" t="s">
        <v>588</v>
      </c>
      <c r="G14" s="232">
        <v>14270</v>
      </c>
      <c r="H14" t="str">
        <f>IFERROR(INDEX(DimosNaiOxi,MATCH(ΤΚ!E14,DimosNai,0)),"")</f>
        <v/>
      </c>
      <c r="I14" t="str">
        <f>LOOKUP(B14,ΠΕΡΙΦΕΡΕΙΑ!$A$2:$A$14,ΠΕΡΙΦΕΡΕΙΑ!$B$2:$B$14)</f>
        <v>Μερική</v>
      </c>
      <c r="J14" t="str">
        <f t="shared" si="5"/>
        <v/>
      </c>
      <c r="K14" s="206">
        <f t="shared" si="1"/>
        <v>31</v>
      </c>
      <c r="L14" t="str">
        <f t="shared" si="2"/>
        <v>ΑΤΤΙΚΗΣ</v>
      </c>
      <c r="M14" t="str">
        <f t="shared" si="3"/>
        <v>ΑΤΤΙΚΗΣ - ΑΛΙΜΟΥ</v>
      </c>
      <c r="N14" s="204">
        <f t="shared" si="4"/>
        <v>13952</v>
      </c>
      <c r="O14" s="204" t="str">
        <f t="shared" si="6"/>
        <v>Αλίμου</v>
      </c>
    </row>
    <row r="15" spans="1:15" x14ac:dyDescent="0.25">
      <c r="A15" s="206">
        <v>14</v>
      </c>
      <c r="B15" t="s">
        <v>39</v>
      </c>
      <c r="C15" t="s">
        <v>52</v>
      </c>
      <c r="D15" t="s">
        <v>53</v>
      </c>
      <c r="E15" t="str">
        <f t="shared" si="0"/>
        <v xml:space="preserve">ΑΝΑΤΟΛΙΚΗΣ ΜΑΚΕΔΟΝΙΑΣ ΚΑΙ ΘΡΑΚΗΣ - ΝΕΣΤΟΥ, </v>
      </c>
      <c r="F15" s="232" t="s">
        <v>589</v>
      </c>
      <c r="G15" s="232">
        <v>14326</v>
      </c>
      <c r="H15" t="str">
        <f>IFERROR(INDEX(DimosNaiOxi,MATCH(ΤΚ!E15,DimosNai,0)),"")</f>
        <v/>
      </c>
      <c r="I15" t="str">
        <f>LOOKUP(B15,ΠΕΡΙΦΕΡΕΙΑ!$A$2:$A$14,ΠΕΡΙΦΕΡΕΙΑ!$B$2:$B$14)</f>
        <v>Μερική</v>
      </c>
      <c r="J15" t="str">
        <f t="shared" si="5"/>
        <v/>
      </c>
      <c r="K15" s="206">
        <f t="shared" si="1"/>
        <v>32</v>
      </c>
      <c r="L15" t="str">
        <f t="shared" si="2"/>
        <v>ΑΤΤΙΚΗΣ</v>
      </c>
      <c r="M15" t="str">
        <f t="shared" si="3"/>
        <v>ΑΤΤΙΚΗΣ - ΑΜΑΡΟΥΣΙΟΥ</v>
      </c>
      <c r="N15" s="204">
        <f t="shared" si="4"/>
        <v>13968</v>
      </c>
      <c r="O15" s="204" t="str">
        <f t="shared" si="6"/>
        <v>Αμαρουσίου</v>
      </c>
    </row>
    <row r="16" spans="1:15" x14ac:dyDescent="0.25">
      <c r="A16" s="206">
        <v>15</v>
      </c>
      <c r="B16" t="s">
        <v>39</v>
      </c>
      <c r="C16" t="s">
        <v>57</v>
      </c>
      <c r="D16" t="s">
        <v>57</v>
      </c>
      <c r="E16" t="str">
        <f t="shared" si="0"/>
        <v xml:space="preserve">ΑΝΑΤΟΛΙΚΗΣ ΜΑΚΕΔΟΝΙΑΣ ΚΑΙ ΘΡΑΚΗΣ - ΞΑΝΘΗΣ, </v>
      </c>
      <c r="F16" s="232" t="s">
        <v>590</v>
      </c>
      <c r="G16" s="232">
        <v>14346</v>
      </c>
      <c r="H16" t="str">
        <f>IFERROR(INDEX(DimosNaiOxi,MATCH(ΤΚ!E16,DimosNai,0)),"")</f>
        <v>ΝΑΙ</v>
      </c>
      <c r="I16" t="str">
        <f>LOOKUP(B16,ΠΕΡΙΦΕΡΕΙΑ!$A$2:$A$14,ΠΕΡΙΦΕΡΕΙΑ!$B$2:$B$14)</f>
        <v>Μερική</v>
      </c>
      <c r="J16">
        <f t="shared" si="5"/>
        <v>15</v>
      </c>
      <c r="K16" s="206">
        <f t="shared" si="1"/>
        <v>33</v>
      </c>
      <c r="L16" t="str">
        <f t="shared" si="2"/>
        <v>ΑΤΤΙΚΗΣ</v>
      </c>
      <c r="M16" t="str">
        <f t="shared" si="3"/>
        <v>ΑΤΤΙΚΗΣ - ΑΣΠΡΟΠΥΡΓΟΥ</v>
      </c>
      <c r="N16" s="204">
        <f t="shared" si="4"/>
        <v>14008</v>
      </c>
      <c r="O16" s="204" t="str">
        <f t="shared" si="6"/>
        <v>Ασπροπύργου</v>
      </c>
    </row>
    <row r="17" spans="1:15" x14ac:dyDescent="0.25">
      <c r="A17" s="206">
        <v>16</v>
      </c>
      <c r="B17" t="s">
        <v>39</v>
      </c>
      <c r="C17" t="s">
        <v>365</v>
      </c>
      <c r="D17" t="s">
        <v>48</v>
      </c>
      <c r="E17" t="str">
        <f t="shared" si="0"/>
        <v xml:space="preserve">ΑΝΑΤΟΛΙΚΗΣ ΜΑΚΕΔΟΝΙΑΣ ΚΑΙ ΘΡΑΚΗΣ - ΟΡΕΣΤΙΑΔΑΣ, </v>
      </c>
      <c r="F17" s="232" t="s">
        <v>591</v>
      </c>
      <c r="G17" s="232">
        <v>14358</v>
      </c>
      <c r="H17" t="str">
        <f>IFERROR(INDEX(DimosNaiOxi,MATCH(ΤΚ!E17,DimosNai,0)),"")</f>
        <v/>
      </c>
      <c r="I17" t="str">
        <f>LOOKUP(B17,ΠΕΡΙΦΕΡΕΙΑ!$A$2:$A$14,ΠΕΡΙΦΕΡΕΙΑ!$B$2:$B$14)</f>
        <v>Μερική</v>
      </c>
      <c r="J17" t="str">
        <f t="shared" si="5"/>
        <v/>
      </c>
      <c r="K17" s="206">
        <f t="shared" si="1"/>
        <v>34</v>
      </c>
      <c r="L17" t="str">
        <f t="shared" si="2"/>
        <v>ΑΤΤΙΚΗΣ</v>
      </c>
      <c r="M17" t="str">
        <f t="shared" si="3"/>
        <v>ΑΤΤΙΚΗΣ - ΑΧΑΡΝΩΝ</v>
      </c>
      <c r="N17" s="204">
        <f t="shared" si="4"/>
        <v>14012</v>
      </c>
      <c r="O17" s="204" t="str">
        <f t="shared" si="6"/>
        <v>Αχαρνών</v>
      </c>
    </row>
    <row r="18" spans="1:15" x14ac:dyDescent="0.25">
      <c r="A18" s="206">
        <v>17</v>
      </c>
      <c r="B18" t="s">
        <v>39</v>
      </c>
      <c r="C18" t="s">
        <v>52</v>
      </c>
      <c r="D18" t="s">
        <v>54</v>
      </c>
      <c r="E18" t="str">
        <f t="shared" si="0"/>
        <v xml:space="preserve">ΑΝΑΤΟΛΙΚΗΣ ΜΑΚΕΔΟΝΙΑΣ ΚΑΙ ΘΡΑΚΗΣ - ΠΑΓΓΑΙΟΥ, </v>
      </c>
      <c r="F18" s="232" t="s">
        <v>592</v>
      </c>
      <c r="G18" s="232">
        <v>14384</v>
      </c>
      <c r="H18" t="str">
        <f>IFERROR(INDEX(DimosNaiOxi,MATCH(ΤΚ!E18,DimosNai,0)),"")</f>
        <v/>
      </c>
      <c r="I18" t="str">
        <f>LOOKUP(B18,ΠΕΡΙΦΕΡΕΙΑ!$A$2:$A$14,ΠΕΡΙΦΕΡΕΙΑ!$B$2:$B$14)</f>
        <v>Μερική</v>
      </c>
      <c r="J18" t="str">
        <f t="shared" si="5"/>
        <v/>
      </c>
      <c r="K18" s="206">
        <f t="shared" si="1"/>
        <v>35</v>
      </c>
      <c r="L18" t="str">
        <f t="shared" si="2"/>
        <v>ΑΤΤΙΚΗΣ</v>
      </c>
      <c r="M18" t="str">
        <f t="shared" si="3"/>
        <v>ΑΤΤΙΚΗΣ - ΒΑΡΗΣ – ΒΟΥΛΑΣ – ΒΟΥΛΙΑΓΜΕΝΗΣ</v>
      </c>
      <c r="N18" s="204">
        <f t="shared" si="4"/>
        <v>14014</v>
      </c>
      <c r="O18" s="204" t="str">
        <f t="shared" si="6"/>
        <v>Βάρης - Βούλας - Βουλιαγμένης</v>
      </c>
    </row>
    <row r="19" spans="1:15" x14ac:dyDescent="0.25">
      <c r="A19" s="206">
        <v>18</v>
      </c>
      <c r="B19" t="s">
        <v>39</v>
      </c>
      <c r="C19" t="s">
        <v>42</v>
      </c>
      <c r="D19" t="s">
        <v>44</v>
      </c>
      <c r="E19" t="str">
        <f t="shared" si="0"/>
        <v xml:space="preserve">ΑΝΑΤΟΛΙΚΗΣ ΜΑΚΕΔΟΝΙΑΣ ΚΑΙ ΘΡΑΚΗΣ - ΠΑΡΑΝΕΣΤΙΟΥ, </v>
      </c>
      <c r="F19" s="232" t="s">
        <v>593</v>
      </c>
      <c r="G19" s="232">
        <v>14400</v>
      </c>
      <c r="H19" t="str">
        <f>IFERROR(INDEX(DimosNaiOxi,MATCH(ΤΚ!E19,DimosNai,0)),"")</f>
        <v/>
      </c>
      <c r="I19" t="str">
        <f>LOOKUP(B19,ΠΕΡΙΦΕΡΕΙΑ!$A$2:$A$14,ΠΕΡΙΦΕΡΕΙΑ!$B$2:$B$14)</f>
        <v>Μερική</v>
      </c>
      <c r="J19" t="str">
        <f t="shared" si="5"/>
        <v/>
      </c>
      <c r="K19" s="206">
        <f t="shared" si="1"/>
        <v>36</v>
      </c>
      <c r="L19" t="str">
        <f t="shared" si="2"/>
        <v>ΑΤΤΙΚΗΣ</v>
      </c>
      <c r="M19" t="str">
        <f t="shared" si="3"/>
        <v>ΑΤΤΙΚΗΣ - ΒΡΙΛΗΣΣΙΩΝ</v>
      </c>
      <c r="N19" s="204">
        <f t="shared" si="4"/>
        <v>14036</v>
      </c>
      <c r="O19" s="204" t="str">
        <f t="shared" si="6"/>
        <v>Βριλησσίων</v>
      </c>
    </row>
    <row r="20" spans="1:15" x14ac:dyDescent="0.25">
      <c r="A20" s="206">
        <v>19</v>
      </c>
      <c r="B20" t="s">
        <v>39</v>
      </c>
      <c r="C20" t="s">
        <v>42</v>
      </c>
      <c r="D20" t="s">
        <v>45</v>
      </c>
      <c r="E20" t="str">
        <f t="shared" si="0"/>
        <v xml:space="preserve">ΑΝΑΤΟΛΙΚΗΣ ΜΑΚΕΔΟΝΙΑΣ ΚΑΙ ΘΡΑΚΗΣ - ΠΡΟΣΟΤΣΑΝΗΣ, </v>
      </c>
      <c r="F20" s="232" t="s">
        <v>594</v>
      </c>
      <c r="G20" s="232">
        <v>14424</v>
      </c>
      <c r="H20" t="str">
        <f>IFERROR(INDEX(DimosNaiOxi,MATCH(ΤΚ!E20,DimosNai,0)),"")</f>
        <v/>
      </c>
      <c r="I20" t="str">
        <f>LOOKUP(B20,ΠΕΡΙΦΕΡΕΙΑ!$A$2:$A$14,ΠΕΡΙΦΕΡΕΙΑ!$B$2:$B$14)</f>
        <v>Μερική</v>
      </c>
      <c r="J20" t="str">
        <f t="shared" si="5"/>
        <v/>
      </c>
      <c r="K20" s="206">
        <f t="shared" si="1"/>
        <v>37</v>
      </c>
      <c r="L20" t="str">
        <f t="shared" si="2"/>
        <v>ΑΤΤΙΚΗΣ</v>
      </c>
      <c r="M20" t="str">
        <f t="shared" si="3"/>
        <v>ΑΤΤΙΚΗΣ - ΒΥΡΩΝΟΣ</v>
      </c>
      <c r="N20" s="204">
        <f t="shared" si="4"/>
        <v>14026</v>
      </c>
      <c r="O20" s="204" t="str">
        <f t="shared" si="6"/>
        <v>Βύρωνος</v>
      </c>
    </row>
    <row r="21" spans="1:15" x14ac:dyDescent="0.25">
      <c r="A21" s="206">
        <v>20</v>
      </c>
      <c r="B21" t="s">
        <v>39</v>
      </c>
      <c r="C21" t="s">
        <v>365</v>
      </c>
      <c r="D21" t="s">
        <v>49</v>
      </c>
      <c r="E21" t="str">
        <f t="shared" si="0"/>
        <v xml:space="preserve">ΑΝΑΤΟΛΙΚΗΣ ΜΑΚΕΔΟΝΙΑΣ ΚΑΙ ΘΡΑΚΗΣ - ΣΑΜΟΘΡΑΚΗΣ, </v>
      </c>
      <c r="F21" s="232" t="s">
        <v>595</v>
      </c>
      <c r="G21" s="232">
        <v>14448</v>
      </c>
      <c r="H21" t="str">
        <f>IFERROR(INDEX(DimosNaiOxi,MATCH(ΤΚ!E21,DimosNai,0)),"")</f>
        <v/>
      </c>
      <c r="I21" t="str">
        <f>LOOKUP(B21,ΠΕΡΙΦΕΡΕΙΑ!$A$2:$A$14,ΠΕΡΙΦΕΡΕΙΑ!$B$2:$B$14)</f>
        <v>Μερική</v>
      </c>
      <c r="J21" t="str">
        <f t="shared" si="5"/>
        <v/>
      </c>
      <c r="K21" s="206">
        <f t="shared" si="1"/>
        <v>38</v>
      </c>
      <c r="L21" t="str">
        <f t="shared" si="2"/>
        <v>ΑΤΤΙΚΗΣ</v>
      </c>
      <c r="M21" t="str">
        <f t="shared" si="3"/>
        <v>ΑΤΤΙΚΗΣ - ΓΑΛΑΤΣΙΟΥ</v>
      </c>
      <c r="N21" s="204">
        <f t="shared" si="4"/>
        <v>14042</v>
      </c>
      <c r="O21" s="204" t="str">
        <f t="shared" si="6"/>
        <v>Γαλατσίου</v>
      </c>
    </row>
    <row r="22" spans="1:15" x14ac:dyDescent="0.25">
      <c r="A22" s="206">
        <v>21</v>
      </c>
      <c r="B22" t="s">
        <v>39</v>
      </c>
      <c r="C22" t="s">
        <v>365</v>
      </c>
      <c r="D22" t="s">
        <v>50</v>
      </c>
      <c r="E22" t="str">
        <f t="shared" si="0"/>
        <v xml:space="preserve">ΑΝΑΤΟΛΙΚΗΣ ΜΑΚΕΔΟΝΙΑΣ ΚΑΙ ΘΡΑΚΗΣ - ΣΟΥΦΛΙΟΥ, </v>
      </c>
      <c r="F22" s="232" t="s">
        <v>596</v>
      </c>
      <c r="G22" s="232">
        <v>14478</v>
      </c>
      <c r="H22" t="str">
        <f>IFERROR(INDEX(DimosNaiOxi,MATCH(ΤΚ!E22,DimosNai,0)),"")</f>
        <v/>
      </c>
      <c r="I22" t="str">
        <f>LOOKUP(B22,ΠΕΡΙΦΕΡΕΙΑ!$A$2:$A$14,ΠΕΡΙΦΕΡΕΙΑ!$B$2:$B$14)</f>
        <v>Μερική</v>
      </c>
      <c r="J22" t="str">
        <f t="shared" si="5"/>
        <v/>
      </c>
      <c r="K22" s="206">
        <f t="shared" si="1"/>
        <v>39</v>
      </c>
      <c r="L22" t="str">
        <f t="shared" si="2"/>
        <v>ΑΤΤΙΚΗΣ</v>
      </c>
      <c r="M22" t="str">
        <f t="shared" si="3"/>
        <v>ΑΤΤΙΚΗΣ - ΓΛΥΦΑΔΑΣ</v>
      </c>
      <c r="N22" s="204">
        <f t="shared" si="4"/>
        <v>14046</v>
      </c>
      <c r="O22" s="204" t="str">
        <f t="shared" si="6"/>
        <v>Γλυφάδας</v>
      </c>
    </row>
    <row r="23" spans="1:15" x14ac:dyDescent="0.25">
      <c r="A23" s="206">
        <v>22</v>
      </c>
      <c r="B23" t="s">
        <v>39</v>
      </c>
      <c r="C23" t="s">
        <v>57</v>
      </c>
      <c r="D23" t="s">
        <v>58</v>
      </c>
      <c r="E23" t="str">
        <f t="shared" si="0"/>
        <v xml:space="preserve">ΑΝΑΤΟΛΙΚΗΣ ΜΑΚΕΔΟΝΙΑΣ ΚΑΙ ΘΡΑΚΗΣ - ΤΟΠΕΙΡΟΥ, </v>
      </c>
      <c r="F23" s="232" t="s">
        <v>597</v>
      </c>
      <c r="G23" s="232">
        <v>14500</v>
      </c>
      <c r="H23" t="str">
        <f>IFERROR(INDEX(DimosNaiOxi,MATCH(ΤΚ!E23,DimosNai,0)),"")</f>
        <v/>
      </c>
      <c r="I23" t="str">
        <f>LOOKUP(B23,ΠΕΡΙΦΕΡΕΙΑ!$A$2:$A$14,ΠΕΡΙΦΕΡΕΙΑ!$B$2:$B$14)</f>
        <v>Μερική</v>
      </c>
      <c r="J23" t="str">
        <f t="shared" si="5"/>
        <v/>
      </c>
      <c r="K23" s="206">
        <f t="shared" si="1"/>
        <v>40</v>
      </c>
      <c r="L23" t="str">
        <f t="shared" si="2"/>
        <v>ΑΤΤΙΚΗΣ</v>
      </c>
      <c r="M23" t="str">
        <f t="shared" si="3"/>
        <v>ΑΤΤΙΚΗΣ - ΔΑΦΝΗΣ – ΥΜΗΤΤΟΥ</v>
      </c>
      <c r="N23" s="204">
        <f t="shared" si="4"/>
        <v>14052</v>
      </c>
      <c r="O23" s="204" t="str">
        <f t="shared" si="6"/>
        <v>Δάφνης - Υμηττού</v>
      </c>
    </row>
    <row r="24" spans="1:15" x14ac:dyDescent="0.25">
      <c r="A24" s="206">
        <v>23</v>
      </c>
      <c r="B24" t="s">
        <v>40</v>
      </c>
      <c r="C24" t="s">
        <v>370</v>
      </c>
      <c r="D24" t="s">
        <v>93</v>
      </c>
      <c r="E24" t="str">
        <f t="shared" si="0"/>
        <v xml:space="preserve">ΑΤΤΙΚΗΣ - ΑΓΙΑΣ ΒΑΡΒΑΡΑΣ, </v>
      </c>
      <c r="F24" s="232" t="s">
        <v>598</v>
      </c>
      <c r="G24" s="232">
        <v>13922</v>
      </c>
      <c r="H24" t="str">
        <f>IFERROR(INDEX(DimosNaiOxi,MATCH(ΤΚ!E24,DimosNai,0)),"")</f>
        <v>ΝΑΙ</v>
      </c>
      <c r="I24" t="str">
        <f>LOOKUP(B24,ΠΕΡΙΦΕΡΕΙΑ!$A$2:$A$14,ΠΕΡΙΦΕΡΕΙΑ!$B$2:$B$14)</f>
        <v>Μερική</v>
      </c>
      <c r="J24">
        <f t="shared" si="5"/>
        <v>23</v>
      </c>
      <c r="K24" s="206">
        <f t="shared" si="1"/>
        <v>42</v>
      </c>
      <c r="L24" t="str">
        <f t="shared" si="2"/>
        <v>ΑΤΤΙΚΗΣ</v>
      </c>
      <c r="M24" t="str">
        <f t="shared" si="3"/>
        <v>ΑΤΤΙΚΗΣ - ΕΛΕΥΣΙΝΑΣ</v>
      </c>
      <c r="N24" s="204">
        <f t="shared" si="4"/>
        <v>14088</v>
      </c>
      <c r="O24" s="204" t="str">
        <f t="shared" si="6"/>
        <v>Ελευσίνας</v>
      </c>
    </row>
    <row r="25" spans="1:15" x14ac:dyDescent="0.25">
      <c r="A25" s="206">
        <v>24</v>
      </c>
      <c r="B25" t="s">
        <v>40</v>
      </c>
      <c r="C25" t="s">
        <v>368</v>
      </c>
      <c r="D25" t="s">
        <v>76</v>
      </c>
      <c r="E25" t="str">
        <f t="shared" si="0"/>
        <v xml:space="preserve">ΑΤΤΙΚΗΣ - ΑΓΙΑΣ ΠΑΡΑΣΚΕΥΗΣ, </v>
      </c>
      <c r="F25" s="232" t="s">
        <v>599</v>
      </c>
      <c r="G25" s="232">
        <v>13924</v>
      </c>
      <c r="H25" t="str">
        <f>IFERROR(INDEX(DimosNaiOxi,MATCH(ΤΚ!E25,DimosNai,0)),"")</f>
        <v>ΝΑΙ</v>
      </c>
      <c r="I25" t="str">
        <f>LOOKUP(B25,ΠΕΡΙΦΕΡΕΙΑ!$A$2:$A$14,ΠΕΡΙΦΕΡΕΙΑ!$B$2:$B$14)</f>
        <v>Μερική</v>
      </c>
      <c r="J25">
        <f t="shared" si="5"/>
        <v>24</v>
      </c>
      <c r="K25" s="206">
        <f t="shared" si="1"/>
        <v>43</v>
      </c>
      <c r="L25" t="str">
        <f t="shared" si="2"/>
        <v>ΑΤΤΙΚΗΣ</v>
      </c>
      <c r="M25" t="str">
        <f t="shared" si="3"/>
        <v>ΑΤΤΙΚΗΣ - ΕΛΛΗΝΙΚΟΥ – ΑΡΓΥΡΟΥΠΟΛΗΣ</v>
      </c>
      <c r="N25" s="204">
        <f t="shared" si="4"/>
        <v>14090</v>
      </c>
      <c r="O25" s="204" t="str">
        <f t="shared" si="6"/>
        <v>Ελληνικού - Αργυρούπολης</v>
      </c>
    </row>
    <row r="26" spans="1:15" x14ac:dyDescent="0.25">
      <c r="A26" s="206">
        <v>25</v>
      </c>
      <c r="B26" t="s">
        <v>40</v>
      </c>
      <c r="C26" t="s">
        <v>373</v>
      </c>
      <c r="D26" t="s">
        <v>116</v>
      </c>
      <c r="E26" t="str">
        <f t="shared" si="0"/>
        <v xml:space="preserve">ΑΤΤΙΚΗΣ - ΑΓΙΟΥ ΔΗΜΗΤΡΙΟΥ, </v>
      </c>
      <c r="F26" s="232" t="s">
        <v>600</v>
      </c>
      <c r="G26" s="232">
        <v>13928</v>
      </c>
      <c r="H26" t="str">
        <f>IFERROR(INDEX(DimosNaiOxi,MATCH(ΤΚ!E26,DimosNai,0)),"")</f>
        <v>ΝΑΙ</v>
      </c>
      <c r="I26" t="str">
        <f>LOOKUP(B26,ΠΕΡΙΦΕΡΕΙΑ!$A$2:$A$14,ΠΕΡΙΦΕΡΕΙΑ!$B$2:$B$14)</f>
        <v>Μερική</v>
      </c>
      <c r="J26">
        <f t="shared" si="5"/>
        <v>25</v>
      </c>
      <c r="K26" s="206">
        <f t="shared" si="1"/>
        <v>44</v>
      </c>
      <c r="L26" t="str">
        <f t="shared" si="2"/>
        <v>ΑΤΤΙΚΗΣ</v>
      </c>
      <c r="M26" t="str">
        <f t="shared" si="3"/>
        <v>ΑΤΤΙΚΗΣ - ΖΩΓΡΑΦΟΥ</v>
      </c>
      <c r="N26" s="204">
        <f t="shared" si="4"/>
        <v>14118</v>
      </c>
      <c r="O26" s="204" t="str">
        <f t="shared" si="6"/>
        <v>Ζωγράφου</v>
      </c>
    </row>
    <row r="27" spans="1:15" x14ac:dyDescent="0.25">
      <c r="A27" s="206">
        <v>26</v>
      </c>
      <c r="B27" t="s">
        <v>40</v>
      </c>
      <c r="C27" t="s">
        <v>370</v>
      </c>
      <c r="D27" t="s">
        <v>94</v>
      </c>
      <c r="E27" t="str">
        <f t="shared" si="0"/>
        <v xml:space="preserve">ΑΤΤΙΚΗΣ - ΑΓΙΩΝ ΑΝΑΡΓΥΡΩΝ – ΚΑΜΑΤΕΡΟΥ, </v>
      </c>
      <c r="F27" s="232" t="s">
        <v>601</v>
      </c>
      <c r="G27" s="232">
        <v>13934</v>
      </c>
      <c r="H27" t="str">
        <f>IFERROR(INDEX(DimosNaiOxi,MATCH(ΤΚ!E27,DimosNai,0)),"")</f>
        <v>ΝΑΙ</v>
      </c>
      <c r="I27" t="str">
        <f>LOOKUP(B27,ΠΕΡΙΦΕΡΕΙΑ!$A$2:$A$14,ΠΕΡΙΦΕΡΕΙΑ!$B$2:$B$14)</f>
        <v>Μερική</v>
      </c>
      <c r="J27">
        <f t="shared" si="5"/>
        <v>26</v>
      </c>
      <c r="K27" s="206">
        <f t="shared" si="1"/>
        <v>45</v>
      </c>
      <c r="L27" t="str">
        <f t="shared" si="2"/>
        <v>ΑΤΤΙΚΗΣ</v>
      </c>
      <c r="M27" t="str">
        <f t="shared" si="3"/>
        <v>ΑΤΤΙΚΗΣ - ΗΛΙΟΥΠΟΛΕΩΣ</v>
      </c>
      <c r="N27" s="204">
        <f t="shared" si="4"/>
        <v>14122</v>
      </c>
      <c r="O27" s="204" t="str">
        <f t="shared" si="6"/>
        <v>Ηλιούπολης</v>
      </c>
    </row>
    <row r="28" spans="1:15" x14ac:dyDescent="0.25">
      <c r="A28" s="206">
        <v>27</v>
      </c>
      <c r="B28" t="s">
        <v>40</v>
      </c>
      <c r="C28" t="s">
        <v>372</v>
      </c>
      <c r="D28" t="s">
        <v>108</v>
      </c>
      <c r="E28" t="str">
        <f t="shared" si="0"/>
        <v xml:space="preserve">ΑΤΤΙΚΗΣ - ΑΓΚΙΣΤΡΙΟΥ, </v>
      </c>
      <c r="F28" s="232" t="s">
        <v>602</v>
      </c>
      <c r="G28" s="232">
        <v>13940</v>
      </c>
      <c r="H28" t="str">
        <f>IFERROR(INDEX(DimosNaiOxi,MATCH(ΤΚ!E28,DimosNai,0)),"")</f>
        <v/>
      </c>
      <c r="I28" t="str">
        <f>LOOKUP(B28,ΠΕΡΙΦΕΡΕΙΑ!$A$2:$A$14,ΠΕΡΙΦΕΡΕΙΑ!$B$2:$B$14)</f>
        <v>Μερική</v>
      </c>
      <c r="J28" t="str">
        <f t="shared" si="5"/>
        <v/>
      </c>
      <c r="K28" s="206">
        <f t="shared" si="1"/>
        <v>46</v>
      </c>
      <c r="L28" t="str">
        <f t="shared" si="2"/>
        <v>ΑΤΤΙΚΗΣ</v>
      </c>
      <c r="M28" t="str">
        <f t="shared" si="3"/>
        <v>ΑΤΤΙΚΗΣ - ΗΡΑΚΛΕΙΟΥ</v>
      </c>
      <c r="N28" s="204">
        <f t="shared" si="4"/>
        <v>21230</v>
      </c>
      <c r="O28" s="204" t="str">
        <f t="shared" si="6"/>
        <v>Ηρακλείου Αττικής</v>
      </c>
    </row>
    <row r="29" spans="1:15" x14ac:dyDescent="0.25">
      <c r="A29" s="206">
        <v>28</v>
      </c>
      <c r="B29" t="s">
        <v>40</v>
      </c>
      <c r="C29" t="s">
        <v>371</v>
      </c>
      <c r="D29" t="s">
        <v>100</v>
      </c>
      <c r="E29" t="str">
        <f t="shared" si="0"/>
        <v xml:space="preserve">ΑΤΤΙΚΗΣ - ΑΘΗΝΑΙΩΝ, </v>
      </c>
      <c r="F29" s="232" t="s">
        <v>603</v>
      </c>
      <c r="G29" s="232">
        <v>13946</v>
      </c>
      <c r="H29" t="str">
        <f>IFERROR(INDEX(DimosNaiOxi,MATCH(ΤΚ!E29,DimosNai,0)),"")</f>
        <v>ΝΑΙ</v>
      </c>
      <c r="I29" t="str">
        <f>LOOKUP(B29,ΠΕΡΙΦΕΡΕΙΑ!$A$2:$A$14,ΠΕΡΙΦΕΡΕΙΑ!$B$2:$B$14)</f>
        <v>Μερική</v>
      </c>
      <c r="J29">
        <f t="shared" si="5"/>
        <v>28</v>
      </c>
      <c r="K29" s="206">
        <f t="shared" si="1"/>
        <v>47</v>
      </c>
      <c r="L29" t="str">
        <f t="shared" si="2"/>
        <v>ΑΤΤΙΚΗΣ</v>
      </c>
      <c r="M29" t="str">
        <f t="shared" si="3"/>
        <v>ΑΤΤΙΚΗΣ - ΙΛΙΟΥ</v>
      </c>
      <c r="N29" s="204">
        <f t="shared" si="4"/>
        <v>14154</v>
      </c>
      <c r="O29" s="204" t="str">
        <f t="shared" si="6"/>
        <v>Ιλίου</v>
      </c>
    </row>
    <row r="30" spans="1:15" x14ac:dyDescent="0.25">
      <c r="A30" s="206">
        <v>29</v>
      </c>
      <c r="B30" t="s">
        <v>40</v>
      </c>
      <c r="C30" t="s">
        <v>370</v>
      </c>
      <c r="D30" t="s">
        <v>95</v>
      </c>
      <c r="E30" t="str">
        <f t="shared" si="0"/>
        <v xml:space="preserve">ΑΤΤΙΚΗΣ - ΑΙΓΑΛΕΩ, </v>
      </c>
      <c r="F30" s="232" t="s">
        <v>604</v>
      </c>
      <c r="G30" s="232">
        <v>13948</v>
      </c>
      <c r="H30" t="str">
        <f>IFERROR(INDEX(DimosNaiOxi,MATCH(ΤΚ!E30,DimosNai,0)),"")</f>
        <v>ΝΑΙ</v>
      </c>
      <c r="I30" t="str">
        <f>LOOKUP(B30,ΠΕΡΙΦΕΡΕΙΑ!$A$2:$A$14,ΠΕΡΙΦΕΡΕΙΑ!$B$2:$B$14)</f>
        <v>Μερική</v>
      </c>
      <c r="J30">
        <f t="shared" si="5"/>
        <v>29</v>
      </c>
      <c r="K30" s="206">
        <f t="shared" si="1"/>
        <v>48</v>
      </c>
      <c r="L30" t="str">
        <f t="shared" si="2"/>
        <v>ΑΤΤΙΚΗΣ</v>
      </c>
      <c r="M30" t="str">
        <f t="shared" si="3"/>
        <v>ΑΤΤΙΚΗΣ - ΚΑΙΣΑΡΙΑΝΗΣ</v>
      </c>
      <c r="N30" s="204">
        <f t="shared" si="4"/>
        <v>14176</v>
      </c>
      <c r="O30" s="204" t="str">
        <f t="shared" si="6"/>
        <v>Καισαριανής</v>
      </c>
    </row>
    <row r="31" spans="1:15" x14ac:dyDescent="0.25">
      <c r="A31" s="206">
        <v>30</v>
      </c>
      <c r="B31" t="s">
        <v>40</v>
      </c>
      <c r="C31" t="s">
        <v>372</v>
      </c>
      <c r="D31" t="s">
        <v>109</v>
      </c>
      <c r="E31" t="str">
        <f t="shared" si="0"/>
        <v xml:space="preserve">ΑΤΤΙΚΗΣ - ΑΙΓΙΝΑΣ, </v>
      </c>
      <c r="F31" s="232" t="s">
        <v>605</v>
      </c>
      <c r="G31" s="232">
        <v>13918</v>
      </c>
      <c r="H31" t="str">
        <f>IFERROR(INDEX(DimosNaiOxi,MATCH(ΤΚ!E31,DimosNai,0)),"")</f>
        <v>ΝΑΙ</v>
      </c>
      <c r="I31" t="str">
        <f>LOOKUP(B31,ΠΕΡΙΦΕΡΕΙΑ!$A$2:$A$14,ΠΕΡΙΦΕΡΕΙΑ!$B$2:$B$14)</f>
        <v>Μερική</v>
      </c>
      <c r="J31">
        <f t="shared" si="5"/>
        <v>30</v>
      </c>
      <c r="K31" s="206">
        <f t="shared" si="1"/>
        <v>49</v>
      </c>
      <c r="L31" t="str">
        <f t="shared" si="2"/>
        <v>ΑΤΤΙΚΗΣ</v>
      </c>
      <c r="M31" t="str">
        <f t="shared" si="3"/>
        <v>ΑΤΤΙΚΗΣ - ΚΑΛΛΙΘΕΑΣ</v>
      </c>
      <c r="N31" s="204">
        <f t="shared" si="4"/>
        <v>14186</v>
      </c>
      <c r="O31" s="204" t="str">
        <f t="shared" si="6"/>
        <v>Καλλιθέας</v>
      </c>
    </row>
    <row r="32" spans="1:15" x14ac:dyDescent="0.25">
      <c r="A32" s="206">
        <v>31</v>
      </c>
      <c r="B32" t="s">
        <v>40</v>
      </c>
      <c r="C32" t="s">
        <v>373</v>
      </c>
      <c r="D32" t="s">
        <v>117</v>
      </c>
      <c r="E32" t="str">
        <f t="shared" si="0"/>
        <v xml:space="preserve">ΑΤΤΙΚΗΣ - ΑΛΙΜΟΥ, </v>
      </c>
      <c r="F32" s="232" t="s">
        <v>606</v>
      </c>
      <c r="G32" s="232">
        <v>13952</v>
      </c>
      <c r="H32" t="str">
        <f>IFERROR(INDEX(DimosNaiOxi,MATCH(ΤΚ!E32,DimosNai,0)),"")</f>
        <v>ΝΑΙ</v>
      </c>
      <c r="I32" t="str">
        <f>LOOKUP(B32,ΠΕΡΙΦΕΡΕΙΑ!$A$2:$A$14,ΠΕΡΙΦΕΡΕΙΑ!$B$2:$B$14)</f>
        <v>Μερική</v>
      </c>
      <c r="J32">
        <f t="shared" si="5"/>
        <v>31</v>
      </c>
      <c r="K32" s="206">
        <f t="shared" si="1"/>
        <v>50</v>
      </c>
      <c r="L32" t="str">
        <f t="shared" si="2"/>
        <v>ΑΤΤΙΚΗΣ</v>
      </c>
      <c r="M32" t="str">
        <f t="shared" si="3"/>
        <v>ΑΤΤΙΚΗΣ - ΚΕΡΑΤΣΙΝΙΟΥ – ΔΡΑΠΕΤΣΩΝΑΣ</v>
      </c>
      <c r="N32" s="204">
        <f t="shared" si="4"/>
        <v>14208</v>
      </c>
      <c r="O32" s="204" t="str">
        <f t="shared" si="6"/>
        <v>Κερατσινίου - Δραπετσώνας</v>
      </c>
    </row>
    <row r="33" spans="1:15" x14ac:dyDescent="0.25">
      <c r="A33" s="206">
        <v>32</v>
      </c>
      <c r="B33" t="s">
        <v>40</v>
      </c>
      <c r="C33" t="s">
        <v>368</v>
      </c>
      <c r="D33" t="s">
        <v>77</v>
      </c>
      <c r="E33" t="str">
        <f t="shared" si="0"/>
        <v xml:space="preserve">ΑΤΤΙΚΗΣ - ΑΜΑΡΟΥΣΙΟΥ, </v>
      </c>
      <c r="F33" s="232" t="s">
        <v>607</v>
      </c>
      <c r="G33" s="232">
        <v>13968</v>
      </c>
      <c r="H33" t="str">
        <f>IFERROR(INDEX(DimosNaiOxi,MATCH(ΤΚ!E33,DimosNai,0)),"")</f>
        <v>ΝΑΙ</v>
      </c>
      <c r="I33" t="str">
        <f>LOOKUP(B33,ΠΕΡΙΦΕΡΕΙΑ!$A$2:$A$14,ΠΕΡΙΦΕΡΕΙΑ!$B$2:$B$14)</f>
        <v>Μερική</v>
      </c>
      <c r="J33">
        <f t="shared" si="5"/>
        <v>32</v>
      </c>
      <c r="K33" s="206">
        <f t="shared" si="1"/>
        <v>51</v>
      </c>
      <c r="L33" t="str">
        <f t="shared" si="2"/>
        <v>ΑΤΤΙΚΗΣ</v>
      </c>
      <c r="M33" t="str">
        <f t="shared" si="3"/>
        <v>ΑΤΤΙΚΗΣ - ΚΗΦΙΣΙΑΣ</v>
      </c>
      <c r="N33" s="204">
        <f t="shared" si="4"/>
        <v>14212</v>
      </c>
      <c r="O33" s="204" t="str">
        <f t="shared" si="6"/>
        <v>Κηφισιάς</v>
      </c>
    </row>
    <row r="34" spans="1:15" x14ac:dyDescent="0.25">
      <c r="A34" s="206">
        <v>33</v>
      </c>
      <c r="B34" t="s">
        <v>40</v>
      </c>
      <c r="C34" t="s">
        <v>369</v>
      </c>
      <c r="D34" t="s">
        <v>88</v>
      </c>
      <c r="E34" t="str">
        <f t="shared" si="0"/>
        <v xml:space="preserve">ΑΤΤΙΚΗΣ - ΑΣΠΡΟΠΥΡΓΟΥ, </v>
      </c>
      <c r="F34" s="232" t="s">
        <v>608</v>
      </c>
      <c r="G34" s="232">
        <v>14008</v>
      </c>
      <c r="H34" t="str">
        <f>IFERROR(INDEX(DimosNaiOxi,MATCH(ΤΚ!E34,DimosNai,0)),"")</f>
        <v>ΝΑΙ</v>
      </c>
      <c r="I34" t="str">
        <f>LOOKUP(B34,ΠΕΡΙΦΕΡΕΙΑ!$A$2:$A$14,ΠΕΡΙΦΕΡΕΙΑ!$B$2:$B$14)</f>
        <v>Μερική</v>
      </c>
      <c r="J34">
        <f t="shared" si="5"/>
        <v>33</v>
      </c>
      <c r="K34" s="206">
        <f t="shared" si="1"/>
        <v>52</v>
      </c>
      <c r="L34" t="str">
        <f t="shared" si="2"/>
        <v>ΑΤΤΙΚΗΣ</v>
      </c>
      <c r="M34" t="str">
        <f t="shared" si="3"/>
        <v>ΑΤΤΙΚΗΣ - ΚΟΡΥΔΑΛΛΟΥ</v>
      </c>
      <c r="N34" s="204">
        <f t="shared" si="4"/>
        <v>14230</v>
      </c>
      <c r="O34" s="204" t="str">
        <f t="shared" si="6"/>
        <v>Κορυδαλλού</v>
      </c>
    </row>
    <row r="35" spans="1:15" x14ac:dyDescent="0.25">
      <c r="A35" s="206">
        <v>34</v>
      </c>
      <c r="B35" t="s">
        <v>40</v>
      </c>
      <c r="C35" t="s">
        <v>367</v>
      </c>
      <c r="D35" t="s">
        <v>63</v>
      </c>
      <c r="E35" t="str">
        <f t="shared" si="0"/>
        <v xml:space="preserve">ΑΤΤΙΚΗΣ - ΑΧΑΡΝΩΝ, </v>
      </c>
      <c r="F35" s="232" t="s">
        <v>609</v>
      </c>
      <c r="G35" s="232">
        <v>14012</v>
      </c>
      <c r="H35" t="str">
        <f>IFERROR(INDEX(DimosNaiOxi,MATCH(ΤΚ!E35,DimosNai,0)),"")</f>
        <v>ΝΑΙ</v>
      </c>
      <c r="I35" t="str">
        <f>LOOKUP(B35,ΠΕΡΙΦΕΡΕΙΑ!$A$2:$A$14,ΠΕΡΙΦΕΡΕΙΑ!$B$2:$B$14)</f>
        <v>Μερική</v>
      </c>
      <c r="J35">
        <f t="shared" si="5"/>
        <v>34</v>
      </c>
      <c r="K35" s="206">
        <f t="shared" si="1"/>
        <v>53</v>
      </c>
      <c r="L35" t="str">
        <f t="shared" si="2"/>
        <v>ΑΤΤΙΚΗΣ</v>
      </c>
      <c r="M35" t="str">
        <f t="shared" si="3"/>
        <v>ΑΤΤΙΚΗΣ - ΚΡΩΠΙΑΣ</v>
      </c>
      <c r="N35" s="204">
        <f t="shared" si="4"/>
        <v>14232</v>
      </c>
      <c r="O35" s="204" t="str">
        <f t="shared" si="6"/>
        <v>Κρωπίας</v>
      </c>
    </row>
    <row r="36" spans="1:15" x14ac:dyDescent="0.25">
      <c r="A36" s="206">
        <v>35</v>
      </c>
      <c r="B36" t="s">
        <v>40</v>
      </c>
      <c r="C36" t="s">
        <v>367</v>
      </c>
      <c r="D36" t="s">
        <v>64</v>
      </c>
      <c r="E36" t="str">
        <f t="shared" si="0"/>
        <v xml:space="preserve">ΑΤΤΙΚΗΣ - ΒΑΡΗΣ – ΒΟΥΛΑΣ – ΒΟΥΛΙΑΓΜΕΝΗΣ, </v>
      </c>
      <c r="F36" s="232" t="s">
        <v>610</v>
      </c>
      <c r="G36" s="232">
        <v>14014</v>
      </c>
      <c r="H36" t="str">
        <f>IFERROR(INDEX(DimosNaiOxi,MATCH(ΤΚ!E36,DimosNai,0)),"")</f>
        <v>ΝΑΙ</v>
      </c>
      <c r="I36" t="str">
        <f>LOOKUP(B36,ΠΕΡΙΦΕΡΕΙΑ!$A$2:$A$14,ΠΕΡΙΦΕΡΕΙΑ!$B$2:$B$14)</f>
        <v>Μερική</v>
      </c>
      <c r="J36">
        <f t="shared" si="5"/>
        <v>35</v>
      </c>
      <c r="K36" s="206">
        <f t="shared" si="1"/>
        <v>55</v>
      </c>
      <c r="L36" t="str">
        <f t="shared" si="2"/>
        <v>ΑΤΤΙΚΗΣ</v>
      </c>
      <c r="M36" t="str">
        <f t="shared" si="3"/>
        <v>ΑΤΤΙΚΗΣ - ΛΑΥΡΕΩΤΙΚΗΣ</v>
      </c>
      <c r="N36" s="204">
        <f t="shared" si="4"/>
        <v>14252</v>
      </c>
      <c r="O36" s="204" t="str">
        <f t="shared" si="6"/>
        <v>Λαυρεωτικής</v>
      </c>
    </row>
    <row r="37" spans="1:15" x14ac:dyDescent="0.25">
      <c r="A37" s="206">
        <v>36</v>
      </c>
      <c r="B37" t="s">
        <v>40</v>
      </c>
      <c r="C37" t="s">
        <v>368</v>
      </c>
      <c r="D37" t="s">
        <v>78</v>
      </c>
      <c r="E37" t="str">
        <f t="shared" si="0"/>
        <v xml:space="preserve">ΑΤΤΙΚΗΣ - ΒΡΙΛΗΣΣΙΩΝ, </v>
      </c>
      <c r="F37" s="232" t="s">
        <v>611</v>
      </c>
      <c r="G37" s="232">
        <v>14036</v>
      </c>
      <c r="H37" t="str">
        <f>IFERROR(INDEX(DimosNaiOxi,MATCH(ΤΚ!E37,DimosNai,0)),"")</f>
        <v>ΝΑΙ</v>
      </c>
      <c r="I37" t="str">
        <f>LOOKUP(B37,ΠΕΡΙΦΕΡΕΙΑ!$A$2:$A$14,ΠΕΡΙΦΕΡΕΙΑ!$B$2:$B$14)</f>
        <v>Μερική</v>
      </c>
      <c r="J37">
        <f t="shared" si="5"/>
        <v>36</v>
      </c>
      <c r="K37" s="206">
        <f t="shared" si="1"/>
        <v>56</v>
      </c>
      <c r="L37" t="str">
        <f t="shared" si="2"/>
        <v>ΑΤΤΙΚΗΣ</v>
      </c>
      <c r="M37" t="str">
        <f t="shared" si="3"/>
        <v>ΑΤΤΙΚΗΣ - ΛΥΚΟΒΡΥΣΗΣ – ΠΕΥΚΗΣ</v>
      </c>
      <c r="N37" s="204">
        <f t="shared" si="4"/>
        <v>14264</v>
      </c>
      <c r="O37" s="204" t="str">
        <f t="shared" si="6"/>
        <v>Λυκόβρυσης - Πεύκης</v>
      </c>
    </row>
    <row r="38" spans="1:15" x14ac:dyDescent="0.25">
      <c r="A38" s="206">
        <v>37</v>
      </c>
      <c r="B38" t="s">
        <v>40</v>
      </c>
      <c r="C38" t="s">
        <v>371</v>
      </c>
      <c r="D38" t="s">
        <v>101</v>
      </c>
      <c r="E38" t="str">
        <f t="shared" si="0"/>
        <v xml:space="preserve">ΑΤΤΙΚΗΣ - ΒΥΡΩΝΟΣ, </v>
      </c>
      <c r="F38" s="232" t="s">
        <v>612</v>
      </c>
      <c r="G38" s="232">
        <v>14026</v>
      </c>
      <c r="H38" t="str">
        <f>IFERROR(INDEX(DimosNaiOxi,MATCH(ΤΚ!E38,DimosNai,0)),"")</f>
        <v>ΝΑΙ</v>
      </c>
      <c r="I38" t="str">
        <f>LOOKUP(B38,ΠΕΡΙΦΕΡΕΙΑ!$A$2:$A$14,ΠΕΡΙΦΕΡΕΙΑ!$B$2:$B$14)</f>
        <v>Μερική</v>
      </c>
      <c r="J38">
        <f t="shared" si="5"/>
        <v>37</v>
      </c>
      <c r="K38" s="206">
        <f t="shared" si="1"/>
        <v>57</v>
      </c>
      <c r="L38" t="str">
        <f t="shared" si="2"/>
        <v>ΑΤΤΙΚΗΣ</v>
      </c>
      <c r="M38" t="str">
        <f t="shared" si="3"/>
        <v>ΑΤΤΙΚΗΣ - ΜΑΝΔΡΑΣ – ΕΙΔΥΛΛΙΑΣ</v>
      </c>
      <c r="N38" s="204">
        <f t="shared" si="4"/>
        <v>14266</v>
      </c>
      <c r="O38" s="204" t="str">
        <f t="shared" si="6"/>
        <v>Μάνδρας - Ειδυλλίας</v>
      </c>
    </row>
    <row r="39" spans="1:15" x14ac:dyDescent="0.25">
      <c r="A39" s="206">
        <v>38</v>
      </c>
      <c r="B39" t="s">
        <v>40</v>
      </c>
      <c r="C39" t="s">
        <v>371</v>
      </c>
      <c r="D39" t="s">
        <v>102</v>
      </c>
      <c r="E39" t="str">
        <f t="shared" si="0"/>
        <v xml:space="preserve">ΑΤΤΙΚΗΣ - ΓΑΛΑΤΣΙΟΥ, </v>
      </c>
      <c r="F39" s="232" t="s">
        <v>613</v>
      </c>
      <c r="G39" s="232">
        <v>14042</v>
      </c>
      <c r="H39" t="str">
        <f>IFERROR(INDEX(DimosNaiOxi,MATCH(ΤΚ!E39,DimosNai,0)),"")</f>
        <v>ΝΑΙ</v>
      </c>
      <c r="I39" t="str">
        <f>LOOKUP(B39,ΠΕΡΙΦΕΡΕΙΑ!$A$2:$A$14,ΠΕΡΙΦΕΡΕΙΑ!$B$2:$B$14)</f>
        <v>Μερική</v>
      </c>
      <c r="J39">
        <f t="shared" si="5"/>
        <v>38</v>
      </c>
      <c r="K39" s="206">
        <f t="shared" si="1"/>
        <v>59</v>
      </c>
      <c r="L39" t="str">
        <f t="shared" si="2"/>
        <v>ΑΤΤΙΚΗΣ</v>
      </c>
      <c r="M39" t="str">
        <f t="shared" si="3"/>
        <v>ΑΤΤΙΚΗΣ - ΜΑΡΚΟΠΟΥΛΟΥ ΜΕΣΟΓΑΙΑΣ</v>
      </c>
      <c r="N39" s="204">
        <f t="shared" si="4"/>
        <v>14282</v>
      </c>
      <c r="O39" s="204" t="str">
        <f t="shared" si="6"/>
        <v>Μαρκοπούλου Μεσογαίας</v>
      </c>
    </row>
    <row r="40" spans="1:15" x14ac:dyDescent="0.25">
      <c r="A40" s="206">
        <v>39</v>
      </c>
      <c r="B40" t="s">
        <v>40</v>
      </c>
      <c r="C40" t="s">
        <v>373</v>
      </c>
      <c r="D40" t="s">
        <v>118</v>
      </c>
      <c r="E40" t="str">
        <f t="shared" si="0"/>
        <v xml:space="preserve">ΑΤΤΙΚΗΣ - ΓΛΥΦΑΔΑΣ, </v>
      </c>
      <c r="F40" s="232" t="s">
        <v>614</v>
      </c>
      <c r="G40" s="232">
        <v>14046</v>
      </c>
      <c r="H40" t="str">
        <f>IFERROR(INDEX(DimosNaiOxi,MATCH(ΤΚ!E40,DimosNai,0)),"")</f>
        <v>ΝΑΙ</v>
      </c>
      <c r="I40" t="str">
        <f>LOOKUP(B40,ΠΕΡΙΦΕΡΕΙΑ!$A$2:$A$14,ΠΕΡΙΦΕΡΕΙΑ!$B$2:$B$14)</f>
        <v>Μερική</v>
      </c>
      <c r="J40">
        <f t="shared" si="5"/>
        <v>39</v>
      </c>
      <c r="K40" s="206">
        <f t="shared" si="1"/>
        <v>60</v>
      </c>
      <c r="L40" t="str">
        <f t="shared" si="2"/>
        <v>ΑΤΤΙΚΗΣ</v>
      </c>
      <c r="M40" t="str">
        <f t="shared" si="3"/>
        <v>ΑΤΤΙΚΗΣ - ΜΕΓΑΡΕΩΝ</v>
      </c>
      <c r="N40" s="204">
        <f t="shared" si="4"/>
        <v>14292</v>
      </c>
      <c r="O40" s="204" t="str">
        <f t="shared" si="6"/>
        <v>Μεγαρέων</v>
      </c>
    </row>
    <row r="41" spans="1:15" x14ac:dyDescent="0.25">
      <c r="A41" s="206">
        <v>40</v>
      </c>
      <c r="B41" t="s">
        <v>40</v>
      </c>
      <c r="C41" t="s">
        <v>371</v>
      </c>
      <c r="D41" t="s">
        <v>103</v>
      </c>
      <c r="E41" t="str">
        <f t="shared" si="0"/>
        <v xml:space="preserve">ΑΤΤΙΚΗΣ - ΔΑΦΝΗΣ – ΥΜΗΤΤΟΥ, </v>
      </c>
      <c r="F41" s="232" t="s">
        <v>615</v>
      </c>
      <c r="G41" s="232">
        <v>14052</v>
      </c>
      <c r="H41" t="str">
        <f>IFERROR(INDEX(DimosNaiOxi,MATCH(ΤΚ!E41,DimosNai,0)),"")</f>
        <v>ΝΑΙ</v>
      </c>
      <c r="I41" t="str">
        <f>LOOKUP(B41,ΠΕΡΙΦΕΡΕΙΑ!$A$2:$A$14,ΠΕΡΙΦΕΡΕΙΑ!$B$2:$B$14)</f>
        <v>Μερική</v>
      </c>
      <c r="J41">
        <f t="shared" si="5"/>
        <v>40</v>
      </c>
      <c r="K41" s="206">
        <f t="shared" si="1"/>
        <v>61</v>
      </c>
      <c r="L41" t="str">
        <f t="shared" si="2"/>
        <v>ΑΤΤΙΚΗΣ</v>
      </c>
      <c r="M41" t="str">
        <f t="shared" si="3"/>
        <v>ΑΤΤΙΚΗΣ - ΜΕΤΑΜΟΡΦΩΣΕΩΣ</v>
      </c>
      <c r="N41" s="204">
        <f t="shared" si="4"/>
        <v>14296</v>
      </c>
      <c r="O41" s="204" t="str">
        <f t="shared" si="6"/>
        <v>Μεταμορφώσεως</v>
      </c>
    </row>
    <row r="42" spans="1:15" x14ac:dyDescent="0.25">
      <c r="A42" s="206">
        <v>41</v>
      </c>
      <c r="B42" t="s">
        <v>40</v>
      </c>
      <c r="C42" t="s">
        <v>367</v>
      </c>
      <c r="D42" t="s">
        <v>65</v>
      </c>
      <c r="E42" t="str">
        <f t="shared" si="0"/>
        <v xml:space="preserve">ΑΤΤΙΚΗΣ - ΔΙΟΝΥΣΟΥ, </v>
      </c>
      <c r="F42" s="232" t="s">
        <v>616</v>
      </c>
      <c r="G42" s="232">
        <v>14064</v>
      </c>
      <c r="H42" t="str">
        <f>IFERROR(INDEX(DimosNaiOxi,MATCH(ΤΚ!E42,DimosNai,0)),"")</f>
        <v/>
      </c>
      <c r="I42" t="str">
        <f>LOOKUP(B42,ΠΕΡΙΦΕΡΕΙΑ!$A$2:$A$14,ΠΕΡΙΦΕΡΕΙΑ!$B$2:$B$14)</f>
        <v>Μερική</v>
      </c>
      <c r="J42" t="str">
        <f t="shared" si="5"/>
        <v/>
      </c>
      <c r="K42" s="206">
        <f t="shared" si="1"/>
        <v>62</v>
      </c>
      <c r="L42" t="str">
        <f t="shared" si="2"/>
        <v>ΑΤΤΙΚΗΣ</v>
      </c>
      <c r="M42" t="str">
        <f t="shared" si="3"/>
        <v>ΑΤΤΙΚΗΣ - ΜΟΣΧΑΤΟΥ – ΤΑΥΡΟΥ</v>
      </c>
      <c r="N42" s="204">
        <f t="shared" si="4"/>
        <v>14304</v>
      </c>
      <c r="O42" s="204" t="str">
        <f t="shared" si="6"/>
        <v>Μοσχάτου - Ταύρου</v>
      </c>
    </row>
    <row r="43" spans="1:15" x14ac:dyDescent="0.25">
      <c r="A43" s="206">
        <v>42</v>
      </c>
      <c r="B43" t="s">
        <v>40</v>
      </c>
      <c r="C43" t="s">
        <v>369</v>
      </c>
      <c r="D43" t="s">
        <v>89</v>
      </c>
      <c r="E43" t="str">
        <f t="shared" si="0"/>
        <v xml:space="preserve">ΑΤΤΙΚΗΣ - ΕΛΕΥΣΙΝΑΣ, </v>
      </c>
      <c r="F43" s="232" t="s">
        <v>617</v>
      </c>
      <c r="G43" s="232">
        <v>14088</v>
      </c>
      <c r="H43" t="str">
        <f>IFERROR(INDEX(DimosNaiOxi,MATCH(ΤΚ!E43,DimosNai,0)),"")</f>
        <v>ΝΑΙ</v>
      </c>
      <c r="I43" t="str">
        <f>LOOKUP(B43,ΠΕΡΙΦΕΡΕΙΑ!$A$2:$A$14,ΠΕΡΙΦΕΡΕΙΑ!$B$2:$B$14)</f>
        <v>Μερική</v>
      </c>
      <c r="J43">
        <f t="shared" si="5"/>
        <v>42</v>
      </c>
      <c r="K43" s="206">
        <f t="shared" si="1"/>
        <v>63</v>
      </c>
      <c r="L43" t="str">
        <f t="shared" si="2"/>
        <v>ΑΤΤΙΚΗΣ</v>
      </c>
      <c r="M43" t="str">
        <f t="shared" si="3"/>
        <v>ΑΤΤΙΚΗΣ - ΝΕΑΣ ΙΩΝΙΑΣ</v>
      </c>
      <c r="N43" s="204">
        <f t="shared" si="4"/>
        <v>14320</v>
      </c>
      <c r="O43" s="204" t="str">
        <f t="shared" si="6"/>
        <v>Νέας Ιωνίας</v>
      </c>
    </row>
    <row r="44" spans="1:15" x14ac:dyDescent="0.25">
      <c r="A44" s="206">
        <v>43</v>
      </c>
      <c r="B44" t="s">
        <v>40</v>
      </c>
      <c r="C44" t="s">
        <v>373</v>
      </c>
      <c r="D44" t="s">
        <v>119</v>
      </c>
      <c r="E44" t="str">
        <f t="shared" si="0"/>
        <v xml:space="preserve">ΑΤΤΙΚΗΣ - ΕΛΛΗΝΙΚΟΥ – ΑΡΓΥΡΟΥΠΟΛΗΣ, </v>
      </c>
      <c r="F44" s="232" t="s">
        <v>618</v>
      </c>
      <c r="G44" s="232">
        <v>14090</v>
      </c>
      <c r="H44" t="str">
        <f>IFERROR(INDEX(DimosNaiOxi,MATCH(ΤΚ!E44,DimosNai,0)),"")</f>
        <v>ΝΑΙ</v>
      </c>
      <c r="I44" t="str">
        <f>LOOKUP(B44,ΠΕΡΙΦΕΡΕΙΑ!$A$2:$A$14,ΠΕΡΙΦΕΡΕΙΑ!$B$2:$B$14)</f>
        <v>Μερική</v>
      </c>
      <c r="J44">
        <f t="shared" si="5"/>
        <v>43</v>
      </c>
      <c r="K44" s="206">
        <f t="shared" si="1"/>
        <v>64</v>
      </c>
      <c r="L44" t="str">
        <f t="shared" si="2"/>
        <v>ΑΤΤΙΚΗΣ</v>
      </c>
      <c r="M44" t="str">
        <f t="shared" si="3"/>
        <v>ΑΤΤΙΚΗΣ - ΝΕΑΣ ΣΜΥΡΝΗΣ</v>
      </c>
      <c r="N44" s="204">
        <f t="shared" si="4"/>
        <v>14324</v>
      </c>
      <c r="O44" s="204" t="str">
        <f t="shared" si="6"/>
        <v>Νέας Σμύρνης</v>
      </c>
    </row>
    <row r="45" spans="1:15" x14ac:dyDescent="0.25">
      <c r="A45" s="206">
        <v>44</v>
      </c>
      <c r="B45" t="s">
        <v>40</v>
      </c>
      <c r="C45" t="s">
        <v>371</v>
      </c>
      <c r="D45" t="s">
        <v>104</v>
      </c>
      <c r="E45" t="str">
        <f t="shared" si="0"/>
        <v xml:space="preserve">ΑΤΤΙΚΗΣ - ΖΩΓΡΑΦΟΥ, </v>
      </c>
      <c r="F45" s="232" t="s">
        <v>619</v>
      </c>
      <c r="G45" s="232">
        <v>14118</v>
      </c>
      <c r="H45" t="str">
        <f>IFERROR(INDEX(DimosNaiOxi,MATCH(ΤΚ!E45,DimosNai,0)),"")</f>
        <v>ΝΑΙ</v>
      </c>
      <c r="I45" t="str">
        <f>LOOKUP(B45,ΠΕΡΙΦΕΡΕΙΑ!$A$2:$A$14,ΠΕΡΙΦΕΡΕΙΑ!$B$2:$B$14)</f>
        <v>Μερική</v>
      </c>
      <c r="J45">
        <f t="shared" si="5"/>
        <v>44</v>
      </c>
      <c r="K45" s="206">
        <f t="shared" si="1"/>
        <v>65</v>
      </c>
      <c r="L45" t="str">
        <f t="shared" si="2"/>
        <v>ΑΤΤΙΚΗΣ</v>
      </c>
      <c r="M45" t="str">
        <f t="shared" si="3"/>
        <v>ΑΤΤΙΚΗΣ - ΝΙΚΑΙΑΣ – ΑΓΙΟΥ ΙΩΑΝΝΗ ΡΕΝΤΗ</v>
      </c>
      <c r="N45" s="204">
        <f t="shared" si="4"/>
        <v>14328</v>
      </c>
      <c r="O45" s="204" t="str">
        <f t="shared" si="6"/>
        <v>Νίκαιας - Αγίου Ι. Ρέντη</v>
      </c>
    </row>
    <row r="46" spans="1:15" x14ac:dyDescent="0.25">
      <c r="A46" s="206">
        <v>45</v>
      </c>
      <c r="B46" t="s">
        <v>40</v>
      </c>
      <c r="C46" t="s">
        <v>371</v>
      </c>
      <c r="D46" t="s">
        <v>105</v>
      </c>
      <c r="E46" t="str">
        <f t="shared" si="0"/>
        <v xml:space="preserve">ΑΤΤΙΚΗΣ - ΗΛΙΟΥΠΟΛΕΩΣ, </v>
      </c>
      <c r="F46" s="232" t="s">
        <v>620</v>
      </c>
      <c r="G46" s="232">
        <v>14122</v>
      </c>
      <c r="H46" t="str">
        <f>IFERROR(INDEX(DimosNaiOxi,MATCH(ΤΚ!E46,DimosNai,0)),"")</f>
        <v>ΝΑΙ</v>
      </c>
      <c r="I46" t="str">
        <f>LOOKUP(B46,ΠΕΡΙΦΕΡΕΙΑ!$A$2:$A$14,ΠΕΡΙΦΕΡΕΙΑ!$B$2:$B$14)</f>
        <v>Μερική</v>
      </c>
      <c r="J46">
        <f t="shared" si="5"/>
        <v>45</v>
      </c>
      <c r="K46" s="206">
        <f t="shared" si="1"/>
        <v>66</v>
      </c>
      <c r="L46" t="str">
        <f t="shared" si="2"/>
        <v>ΑΤΤΙΚΗΣ</v>
      </c>
      <c r="M46" t="str">
        <f t="shared" si="3"/>
        <v>ΑΤΤΙΚΗΣ - ΠΑΙΑΝΙΑΣ</v>
      </c>
      <c r="N46" s="204">
        <f t="shared" si="4"/>
        <v>14386</v>
      </c>
      <c r="O46" s="204" t="str">
        <f t="shared" si="6"/>
        <v>Παιανίας</v>
      </c>
    </row>
    <row r="47" spans="1:15" x14ac:dyDescent="0.25">
      <c r="A47" s="206">
        <v>46</v>
      </c>
      <c r="B47" t="s">
        <v>40</v>
      </c>
      <c r="C47" t="s">
        <v>368</v>
      </c>
      <c r="D47" t="s">
        <v>79</v>
      </c>
      <c r="E47" t="str">
        <f t="shared" si="0"/>
        <v xml:space="preserve">ΑΤΤΙΚΗΣ - ΗΡΑΚΛΕΙΟΥ, </v>
      </c>
      <c r="F47" s="232" t="s">
        <v>926</v>
      </c>
      <c r="G47" s="232">
        <v>21230</v>
      </c>
      <c r="H47" t="str">
        <f>IFERROR(INDEX(DimosNaiOxi,MATCH(ΤΚ!E47,DimosNai,0)),"")</f>
        <v>ΝΑΙ</v>
      </c>
      <c r="I47" t="str">
        <f>LOOKUP(B47,ΠΕΡΙΦΕΡΕΙΑ!$A$2:$A$14,ΠΕΡΙΦΕΡΕΙΑ!$B$2:$B$14)</f>
        <v>Μερική</v>
      </c>
      <c r="J47">
        <f t="shared" si="5"/>
        <v>46</v>
      </c>
      <c r="K47" s="206">
        <f t="shared" si="1"/>
        <v>67</v>
      </c>
      <c r="L47" t="str">
        <f t="shared" si="2"/>
        <v>ΑΤΤΙΚΗΣ</v>
      </c>
      <c r="M47" t="str">
        <f t="shared" si="3"/>
        <v>ΑΤΤΙΚΗΣ - ΠΑΛΑΙΟΥ ΦΑΛΗΡΟΥ</v>
      </c>
      <c r="N47" s="204">
        <f t="shared" si="4"/>
        <v>14390</v>
      </c>
      <c r="O47" s="204" t="str">
        <f t="shared" si="6"/>
        <v>Παλαιού Φαλήρου</v>
      </c>
    </row>
    <row r="48" spans="1:15" x14ac:dyDescent="0.25">
      <c r="A48" s="206">
        <v>47</v>
      </c>
      <c r="B48" t="s">
        <v>40</v>
      </c>
      <c r="C48" t="s">
        <v>370</v>
      </c>
      <c r="D48" t="s">
        <v>96</v>
      </c>
      <c r="E48" t="str">
        <f t="shared" si="0"/>
        <v xml:space="preserve">ΑΤΤΙΚΗΣ - ΙΛΙΟΥ, </v>
      </c>
      <c r="F48" s="232" t="s">
        <v>621</v>
      </c>
      <c r="G48" s="232">
        <v>14154</v>
      </c>
      <c r="H48" t="str">
        <f>IFERROR(INDEX(DimosNaiOxi,MATCH(ΤΚ!E48,DimosNai,0)),"")</f>
        <v>ΝΑΙ</v>
      </c>
      <c r="I48" t="str">
        <f>LOOKUP(B48,ΠΕΡΙΦΕΡΕΙΑ!$A$2:$A$14,ΠΕΡΙΦΕΡΕΙΑ!$B$2:$B$14)</f>
        <v>Μερική</v>
      </c>
      <c r="J48">
        <f t="shared" si="5"/>
        <v>47</v>
      </c>
      <c r="K48" s="206">
        <f t="shared" si="1"/>
        <v>68</v>
      </c>
      <c r="L48" t="str">
        <f t="shared" si="2"/>
        <v>ΑΤΤΙΚΗΣ</v>
      </c>
      <c r="M48" t="str">
        <f t="shared" si="3"/>
        <v>ΑΤΤΙΚΗΣ - ΠΑΛΛΗΝΗΣ</v>
      </c>
      <c r="N48" s="204">
        <f t="shared" si="4"/>
        <v>14394</v>
      </c>
      <c r="O48" s="204" t="str">
        <f t="shared" si="6"/>
        <v>Παλλήνης</v>
      </c>
    </row>
    <row r="49" spans="1:15" x14ac:dyDescent="0.25">
      <c r="A49" s="206">
        <v>48</v>
      </c>
      <c r="B49" t="s">
        <v>40</v>
      </c>
      <c r="C49" t="s">
        <v>371</v>
      </c>
      <c r="D49" t="s">
        <v>106</v>
      </c>
      <c r="E49" t="str">
        <f t="shared" si="0"/>
        <v xml:space="preserve">ΑΤΤΙΚΗΣ - ΚΑΙΣΑΡΙΑΝΗΣ, </v>
      </c>
      <c r="F49" s="232" t="s">
        <v>622</v>
      </c>
      <c r="G49" s="232">
        <v>14176</v>
      </c>
      <c r="H49" t="str">
        <f>IFERROR(INDEX(DimosNaiOxi,MATCH(ΤΚ!E49,DimosNai,0)),"")</f>
        <v>ΝΑΙ</v>
      </c>
      <c r="I49" t="str">
        <f>LOOKUP(B49,ΠΕΡΙΦΕΡΕΙΑ!$A$2:$A$14,ΠΕΡΙΦΕΡΕΙΑ!$B$2:$B$14)</f>
        <v>Μερική</v>
      </c>
      <c r="J49">
        <f t="shared" si="5"/>
        <v>48</v>
      </c>
      <c r="K49" s="206">
        <f t="shared" si="1"/>
        <v>69</v>
      </c>
      <c r="L49" t="str">
        <f t="shared" si="2"/>
        <v>ΑΤΤΙΚΗΣ</v>
      </c>
      <c r="M49" t="str">
        <f t="shared" si="3"/>
        <v>ΑΤΤΙΚΗΣ - ΠΑΠΑΓΟΥ – ΧΟΛΑΡΓΟΥ</v>
      </c>
      <c r="N49" s="204">
        <f t="shared" si="4"/>
        <v>14398</v>
      </c>
      <c r="O49" s="204" t="str">
        <f t="shared" si="6"/>
        <v>Παπάγου - Χολαργού</v>
      </c>
    </row>
    <row r="50" spans="1:15" x14ac:dyDescent="0.25">
      <c r="A50" s="206">
        <v>49</v>
      </c>
      <c r="B50" t="s">
        <v>40</v>
      </c>
      <c r="C50" t="s">
        <v>373</v>
      </c>
      <c r="D50" t="s">
        <v>120</v>
      </c>
      <c r="E50" t="str">
        <f t="shared" si="0"/>
        <v xml:space="preserve">ΑΤΤΙΚΗΣ - ΚΑΛΛΙΘΕΑΣ, </v>
      </c>
      <c r="F50" s="232" t="s">
        <v>623</v>
      </c>
      <c r="G50" s="232">
        <v>14186</v>
      </c>
      <c r="H50" t="str">
        <f>IFERROR(INDEX(DimosNaiOxi,MATCH(ΤΚ!E50,DimosNai,0)),"")</f>
        <v>ΝΑΙ</v>
      </c>
      <c r="I50" t="str">
        <f>LOOKUP(B50,ΠΕΡΙΦΕΡΕΙΑ!$A$2:$A$14,ΠΕΡΙΦΕΡΕΙΑ!$B$2:$B$14)</f>
        <v>Μερική</v>
      </c>
      <c r="J50">
        <f t="shared" si="5"/>
        <v>49</v>
      </c>
      <c r="K50" s="206">
        <f t="shared" si="1"/>
        <v>70</v>
      </c>
      <c r="L50" t="str">
        <f t="shared" si="2"/>
        <v>ΑΤΤΙΚΗΣ</v>
      </c>
      <c r="M50" t="str">
        <f t="shared" si="3"/>
        <v>ΑΤΤΙΚΗΣ - ΠΕΙΡΑΙΩΣ</v>
      </c>
      <c r="N50" s="204">
        <f t="shared" si="4"/>
        <v>14404</v>
      </c>
      <c r="O50" s="204" t="str">
        <f t="shared" si="6"/>
        <v>Πειραιώς</v>
      </c>
    </row>
    <row r="51" spans="1:15" x14ac:dyDescent="0.25">
      <c r="A51" s="206">
        <v>50</v>
      </c>
      <c r="B51" t="s">
        <v>40</v>
      </c>
      <c r="C51" t="s">
        <v>127</v>
      </c>
      <c r="D51" t="s">
        <v>124</v>
      </c>
      <c r="E51" t="str">
        <f t="shared" si="0"/>
        <v xml:space="preserve">ΑΤΤΙΚΗΣ - ΚΕΡΑΤΣΙΝΙΟΥ – ΔΡΑΠΕΤΣΩΝΑΣ, </v>
      </c>
      <c r="F51" s="232" t="s">
        <v>624</v>
      </c>
      <c r="G51" s="232">
        <v>14208</v>
      </c>
      <c r="H51" t="str">
        <f>IFERROR(INDEX(DimosNaiOxi,MATCH(ΤΚ!E51,DimosNai,0)),"")</f>
        <v>ΝΑΙ</v>
      </c>
      <c r="I51" t="str">
        <f>LOOKUP(B51,ΠΕΡΙΦΕΡΕΙΑ!$A$2:$A$14,ΠΕΡΙΦΕΡΕΙΑ!$B$2:$B$14)</f>
        <v>Μερική</v>
      </c>
      <c r="J51">
        <f t="shared" si="5"/>
        <v>50</v>
      </c>
      <c r="K51" s="206">
        <f t="shared" si="1"/>
        <v>71</v>
      </c>
      <c r="L51" t="str">
        <f t="shared" si="2"/>
        <v>ΑΤΤΙΚΗΣ</v>
      </c>
      <c r="M51" t="str">
        <f t="shared" si="3"/>
        <v>ΑΤΤΙΚΗΣ - ΠΕΝΤΕΛΗΣ</v>
      </c>
      <c r="N51" s="204">
        <f t="shared" si="4"/>
        <v>14406</v>
      </c>
      <c r="O51" s="204" t="str">
        <f t="shared" si="6"/>
        <v>Πεντέλης</v>
      </c>
    </row>
    <row r="52" spans="1:15" x14ac:dyDescent="0.25">
      <c r="A52" s="206">
        <v>51</v>
      </c>
      <c r="B52" t="s">
        <v>40</v>
      </c>
      <c r="C52" t="s">
        <v>368</v>
      </c>
      <c r="D52" t="s">
        <v>80</v>
      </c>
      <c r="E52" t="str">
        <f t="shared" si="0"/>
        <v xml:space="preserve">ΑΤΤΙΚΗΣ - ΚΗΦΙΣΙΑΣ, </v>
      </c>
      <c r="F52" s="232" t="s">
        <v>625</v>
      </c>
      <c r="G52" s="232">
        <v>14212</v>
      </c>
      <c r="H52" t="str">
        <f>IFERROR(INDEX(DimosNaiOxi,MATCH(ΤΚ!E52,DimosNai,0)),"")</f>
        <v>ΝΑΙ</v>
      </c>
      <c r="I52" t="str">
        <f>LOOKUP(B52,ΠΕΡΙΦΕΡΕΙΑ!$A$2:$A$14,ΠΕΡΙΦΕΡΕΙΑ!$B$2:$B$14)</f>
        <v>Μερική</v>
      </c>
      <c r="J52">
        <f t="shared" si="5"/>
        <v>51</v>
      </c>
      <c r="K52" s="206">
        <f t="shared" si="1"/>
        <v>72</v>
      </c>
      <c r="L52" t="str">
        <f t="shared" si="2"/>
        <v>ΑΤΤΙΚΗΣ</v>
      </c>
      <c r="M52" t="str">
        <f t="shared" si="3"/>
        <v>ΑΤΤΙΚΗΣ - ΠΕΡΑΜΑΤΟΣ</v>
      </c>
      <c r="N52" s="204">
        <f t="shared" si="4"/>
        <v>14408</v>
      </c>
      <c r="O52" s="204" t="str">
        <f t="shared" si="6"/>
        <v>Περάματος</v>
      </c>
    </row>
    <row r="53" spans="1:15" x14ac:dyDescent="0.25">
      <c r="A53" s="206">
        <v>52</v>
      </c>
      <c r="B53" t="s">
        <v>40</v>
      </c>
      <c r="C53" t="s">
        <v>127</v>
      </c>
      <c r="D53" t="s">
        <v>125</v>
      </c>
      <c r="E53" t="str">
        <f t="shared" si="0"/>
        <v xml:space="preserve">ΑΤΤΙΚΗΣ - ΚΟΡΥΔΑΛΛΟΥ, </v>
      </c>
      <c r="F53" s="232" t="s">
        <v>626</v>
      </c>
      <c r="G53" s="232">
        <v>14230</v>
      </c>
      <c r="H53" t="str">
        <f>IFERROR(INDEX(DimosNaiOxi,MATCH(ΤΚ!E53,DimosNai,0)),"")</f>
        <v>ΝΑΙ</v>
      </c>
      <c r="I53" t="str">
        <f>LOOKUP(B53,ΠΕΡΙΦΕΡΕΙΑ!$A$2:$A$14,ΠΕΡΙΦΕΡΕΙΑ!$B$2:$B$14)</f>
        <v>Μερική</v>
      </c>
      <c r="J53">
        <f t="shared" si="5"/>
        <v>52</v>
      </c>
      <c r="K53" s="206">
        <f t="shared" si="1"/>
        <v>73</v>
      </c>
      <c r="L53" t="str">
        <f t="shared" si="2"/>
        <v>ΑΤΤΙΚΗΣ</v>
      </c>
      <c r="M53" t="str">
        <f t="shared" si="3"/>
        <v>ΑΤΤΙΚΗΣ - ΠΕΡΙΣΤΕΡΙΟΥ</v>
      </c>
      <c r="N53" s="204">
        <f t="shared" si="4"/>
        <v>14410</v>
      </c>
      <c r="O53" s="204" t="str">
        <f t="shared" si="6"/>
        <v>Περιστερίου</v>
      </c>
    </row>
    <row r="54" spans="1:15" x14ac:dyDescent="0.25">
      <c r="A54" s="206">
        <v>53</v>
      </c>
      <c r="B54" t="s">
        <v>40</v>
      </c>
      <c r="C54" t="s">
        <v>367</v>
      </c>
      <c r="D54" t="s">
        <v>66</v>
      </c>
      <c r="E54" t="str">
        <f t="shared" si="0"/>
        <v xml:space="preserve">ΑΤΤΙΚΗΣ - ΚΡΩΠΙΑΣ, </v>
      </c>
      <c r="F54" s="232" t="s">
        <v>627</v>
      </c>
      <c r="G54" s="232">
        <v>14232</v>
      </c>
      <c r="H54" t="str">
        <f>IFERROR(INDEX(DimosNaiOxi,MATCH(ΤΚ!E54,DimosNai,0)),"")</f>
        <v>ΝΑΙ</v>
      </c>
      <c r="I54" t="str">
        <f>LOOKUP(B54,ΠΕΡΙΦΕΡΕΙΑ!$A$2:$A$14,ΠΕΡΙΦΕΡΕΙΑ!$B$2:$B$14)</f>
        <v>Μερική</v>
      </c>
      <c r="J54">
        <f t="shared" si="5"/>
        <v>53</v>
      </c>
      <c r="K54" s="206">
        <f t="shared" si="1"/>
        <v>74</v>
      </c>
      <c r="L54" t="str">
        <f t="shared" si="2"/>
        <v>ΑΤΤΙΚΗΣ</v>
      </c>
      <c r="M54" t="str">
        <f t="shared" si="3"/>
        <v>ΑΤΤΙΚΗΣ - ΠΕΤΡΟΥΠΟΛΕΩΣ</v>
      </c>
      <c r="N54" s="204">
        <f t="shared" si="4"/>
        <v>14412</v>
      </c>
      <c r="O54" s="204" t="str">
        <f t="shared" si="6"/>
        <v>Πετρούπολης</v>
      </c>
    </row>
    <row r="55" spans="1:15" x14ac:dyDescent="0.25">
      <c r="A55" s="206">
        <v>54</v>
      </c>
      <c r="B55" t="s">
        <v>40</v>
      </c>
      <c r="C55" t="s">
        <v>372</v>
      </c>
      <c r="D55" t="s">
        <v>110</v>
      </c>
      <c r="E55" t="str">
        <f t="shared" si="0"/>
        <v xml:space="preserve">ΑΤΤΙΚΗΣ - ΚΥΘΗΡΩΝ, </v>
      </c>
      <c r="F55" s="232" t="s">
        <v>628</v>
      </c>
      <c r="G55" s="232">
        <v>14234</v>
      </c>
      <c r="H55" t="str">
        <f>IFERROR(INDEX(DimosNaiOxi,MATCH(ΤΚ!E55,DimosNai,0)),"")</f>
        <v/>
      </c>
      <c r="I55" t="str">
        <f>LOOKUP(B55,ΠΕΡΙΦΕΡΕΙΑ!$A$2:$A$14,ΠΕΡΙΦΕΡΕΙΑ!$B$2:$B$14)</f>
        <v>Μερική</v>
      </c>
      <c r="J55" t="str">
        <f t="shared" si="5"/>
        <v/>
      </c>
      <c r="K55" s="206">
        <f t="shared" si="1"/>
        <v>76</v>
      </c>
      <c r="L55" t="str">
        <f t="shared" si="2"/>
        <v>ΑΤΤΙΚΗΣ</v>
      </c>
      <c r="M55" t="str">
        <f t="shared" si="3"/>
        <v>ΑΤΤΙΚΗΣ - ΡΑΦΗΝΑΣ – ΠΙΚΕΡΜΙΟΥ</v>
      </c>
      <c r="N55" s="204">
        <f t="shared" si="4"/>
        <v>14434</v>
      </c>
      <c r="O55" s="204" t="str">
        <f t="shared" si="6"/>
        <v>Ραφήνας - Πικερμίου</v>
      </c>
    </row>
    <row r="56" spans="1:15" x14ac:dyDescent="0.25">
      <c r="A56" s="206">
        <v>55</v>
      </c>
      <c r="B56" t="s">
        <v>40</v>
      </c>
      <c r="C56" t="s">
        <v>367</v>
      </c>
      <c r="D56" t="s">
        <v>67</v>
      </c>
      <c r="E56" t="str">
        <f t="shared" si="0"/>
        <v xml:space="preserve">ΑΤΤΙΚΗΣ - ΛΑΥΡΕΩΤΙΚΗΣ, </v>
      </c>
      <c r="F56" s="232" t="s">
        <v>629</v>
      </c>
      <c r="G56" s="232">
        <v>14252</v>
      </c>
      <c r="H56" t="str">
        <f>IFERROR(INDEX(DimosNaiOxi,MATCH(ΤΚ!E56,DimosNai,0)),"")</f>
        <v>ΝΑΙ</v>
      </c>
      <c r="I56" t="str">
        <f>LOOKUP(B56,ΠΕΡΙΦΕΡΕΙΑ!$A$2:$A$14,ΠΕΡΙΦΕΡΕΙΑ!$B$2:$B$14)</f>
        <v>Μερική</v>
      </c>
      <c r="J56">
        <f t="shared" si="5"/>
        <v>55</v>
      </c>
      <c r="K56" s="206">
        <f t="shared" si="1"/>
        <v>77</v>
      </c>
      <c r="L56" t="str">
        <f t="shared" si="2"/>
        <v>ΑΤΤΙΚΗΣ</v>
      </c>
      <c r="M56" t="str">
        <f t="shared" si="3"/>
        <v>ΑΤΤΙΚΗΣ - ΣΑΛΑΜΙΝΟΣ</v>
      </c>
      <c r="N56" s="204">
        <f t="shared" si="4"/>
        <v>14446</v>
      </c>
      <c r="O56" s="204" t="str">
        <f t="shared" si="6"/>
        <v>Σαλαμίνας</v>
      </c>
    </row>
    <row r="57" spans="1:15" x14ac:dyDescent="0.25">
      <c r="A57" s="206">
        <v>56</v>
      </c>
      <c r="B57" t="s">
        <v>40</v>
      </c>
      <c r="C57" t="s">
        <v>368</v>
      </c>
      <c r="D57" t="s">
        <v>81</v>
      </c>
      <c r="E57" t="str">
        <f t="shared" si="0"/>
        <v xml:space="preserve">ΑΤΤΙΚΗΣ - ΛΥΚΟΒΡΥΣΗΣ – ΠΕΥΚΗΣ, </v>
      </c>
      <c r="F57" s="232" t="s">
        <v>630</v>
      </c>
      <c r="G57" s="232">
        <v>14264</v>
      </c>
      <c r="H57" t="str">
        <f>IFERROR(INDEX(DimosNaiOxi,MATCH(ΤΚ!E57,DimosNai,0)),"")</f>
        <v>ΝΑΙ</v>
      </c>
      <c r="I57" t="str">
        <f>LOOKUP(B57,ΠΕΡΙΦΕΡΕΙΑ!$A$2:$A$14,ΠΕΡΙΦΕΡΕΙΑ!$B$2:$B$14)</f>
        <v>Μερική</v>
      </c>
      <c r="J57">
        <f t="shared" si="5"/>
        <v>56</v>
      </c>
      <c r="K57" s="206">
        <f t="shared" si="1"/>
        <v>79</v>
      </c>
      <c r="L57" t="str">
        <f t="shared" si="2"/>
        <v>ΑΤΤΙΚΗΣ</v>
      </c>
      <c r="M57" t="str">
        <f t="shared" si="3"/>
        <v>ΑΤΤΙΚΗΣ - ΣΠΑΤΩΝ – ΑΡΤΕΜΙΔΟΣ</v>
      </c>
      <c r="N57" s="204">
        <f t="shared" si="4"/>
        <v>14484</v>
      </c>
      <c r="O57" s="204" t="str">
        <f t="shared" si="6"/>
        <v>Σπάτων - Αρτέμιδος</v>
      </c>
    </row>
    <row r="58" spans="1:15" x14ac:dyDescent="0.25">
      <c r="A58" s="206">
        <v>57</v>
      </c>
      <c r="B58" t="s">
        <v>40</v>
      </c>
      <c r="C58" t="s">
        <v>369</v>
      </c>
      <c r="D58" t="s">
        <v>90</v>
      </c>
      <c r="E58" t="str">
        <f t="shared" si="0"/>
        <v xml:space="preserve">ΑΤΤΙΚΗΣ - ΜΑΝΔΡΑΣ – ΕΙΔΥΛΛΙΑΣ, </v>
      </c>
      <c r="F58" s="232" t="s">
        <v>631</v>
      </c>
      <c r="G58" s="232">
        <v>14266</v>
      </c>
      <c r="H58" t="str">
        <f>IFERROR(INDEX(DimosNaiOxi,MATCH(ΤΚ!E58,DimosNai,0)),"")</f>
        <v>ΝΑΙ</v>
      </c>
      <c r="I58" t="str">
        <f>LOOKUP(B58,ΠΕΡΙΦΕΡΕΙΑ!$A$2:$A$14,ΠΕΡΙΦΕΡΕΙΑ!$B$2:$B$14)</f>
        <v>Μερική</v>
      </c>
      <c r="J58">
        <f t="shared" si="5"/>
        <v>57</v>
      </c>
      <c r="K58" s="206">
        <f t="shared" si="1"/>
        <v>83</v>
      </c>
      <c r="L58" t="str">
        <f t="shared" si="2"/>
        <v>ΑΤΤΙΚΗΣ</v>
      </c>
      <c r="M58" t="str">
        <f t="shared" si="3"/>
        <v>ΑΤΤΙΚΗΣ - ΦΙΛΑΔΕΛΦΕΙΑΣ – ΧΑΛΚΗΔΟΝΟΣ</v>
      </c>
      <c r="N58" s="204">
        <f t="shared" si="4"/>
        <v>14518</v>
      </c>
      <c r="O58" s="204" t="str">
        <f t="shared" si="6"/>
        <v>Φιλαδελφείας - Χαλκηδόνος</v>
      </c>
    </row>
    <row r="59" spans="1:15" x14ac:dyDescent="0.25">
      <c r="A59" s="206">
        <v>58</v>
      </c>
      <c r="B59" t="s">
        <v>40</v>
      </c>
      <c r="C59" t="s">
        <v>367</v>
      </c>
      <c r="D59" t="s">
        <v>68</v>
      </c>
      <c r="E59" t="str">
        <f t="shared" si="0"/>
        <v xml:space="preserve">ΑΤΤΙΚΗΣ - ΜΑΡΑΘΩΝΟΣ, </v>
      </c>
      <c r="F59" s="232" t="s">
        <v>632</v>
      </c>
      <c r="G59" s="232">
        <v>14280</v>
      </c>
      <c r="H59" t="str">
        <f>IFERROR(INDEX(DimosNaiOxi,MATCH(ΤΚ!E59,DimosNai,0)),"")</f>
        <v/>
      </c>
      <c r="I59" t="str">
        <f>LOOKUP(B59,ΠΕΡΙΦΕΡΕΙΑ!$A$2:$A$14,ΠΕΡΙΦΕΡΕΙΑ!$B$2:$B$14)</f>
        <v>Μερική</v>
      </c>
      <c r="J59" t="str">
        <f t="shared" si="5"/>
        <v/>
      </c>
      <c r="K59" s="206">
        <f t="shared" si="1"/>
        <v>84</v>
      </c>
      <c r="L59" t="str">
        <f t="shared" si="2"/>
        <v>ΑΤΤΙΚΗΣ</v>
      </c>
      <c r="M59" t="str">
        <f t="shared" si="3"/>
        <v>ΑΤΤΙΚΗΣ - ΦΙΛΟΘΕΗΣ – ΨΥΧΙΚΟΥ</v>
      </c>
      <c r="N59" s="204">
        <f t="shared" si="4"/>
        <v>14522</v>
      </c>
      <c r="O59" s="204" t="str">
        <f t="shared" si="6"/>
        <v>Φιλοθέης - Ψυχικού</v>
      </c>
    </row>
    <row r="60" spans="1:15" x14ac:dyDescent="0.25">
      <c r="A60" s="206">
        <v>59</v>
      </c>
      <c r="B60" t="s">
        <v>40</v>
      </c>
      <c r="C60" t="s">
        <v>367</v>
      </c>
      <c r="D60" t="s">
        <v>69</v>
      </c>
      <c r="E60" t="str">
        <f t="shared" si="0"/>
        <v xml:space="preserve">ΑΤΤΙΚΗΣ - ΜΑΡΚΟΠΟΥΛΟΥ ΜΕΣΟΓΑΙΑΣ, </v>
      </c>
      <c r="F60" s="232" t="s">
        <v>633</v>
      </c>
      <c r="G60" s="232">
        <v>14282</v>
      </c>
      <c r="H60" t="str">
        <f>IFERROR(INDEX(DimosNaiOxi,MATCH(ΤΚ!E60,DimosNai,0)),"")</f>
        <v>ΝΑΙ</v>
      </c>
      <c r="I60" t="str">
        <f>LOOKUP(B60,ΠΕΡΙΦΕΡΕΙΑ!$A$2:$A$14,ΠΕΡΙΦΕΡΕΙΑ!$B$2:$B$14)</f>
        <v>Μερική</v>
      </c>
      <c r="J60">
        <f t="shared" si="5"/>
        <v>59</v>
      </c>
      <c r="K60" s="206">
        <f t="shared" si="1"/>
        <v>86</v>
      </c>
      <c r="L60" t="str">
        <f t="shared" si="2"/>
        <v>ΑΤΤΙΚΗΣ</v>
      </c>
      <c r="M60" t="str">
        <f t="shared" si="3"/>
        <v>ΑΤΤΙΚΗΣ - ΧΑΪΔΑΡΙΟΥ</v>
      </c>
      <c r="N60" s="204">
        <f t="shared" si="4"/>
        <v>14544</v>
      </c>
      <c r="O60" s="204" t="str">
        <f t="shared" si="6"/>
        <v>Χαϊδαρίου</v>
      </c>
    </row>
    <row r="61" spans="1:15" x14ac:dyDescent="0.25">
      <c r="A61" s="206">
        <v>60</v>
      </c>
      <c r="B61" t="s">
        <v>40</v>
      </c>
      <c r="C61" t="s">
        <v>369</v>
      </c>
      <c r="D61" t="s">
        <v>91</v>
      </c>
      <c r="E61" t="str">
        <f t="shared" si="0"/>
        <v xml:space="preserve">ΑΤΤΙΚΗΣ - ΜΕΓΑΡΕΩΝ, </v>
      </c>
      <c r="F61" s="232" t="s">
        <v>634</v>
      </c>
      <c r="G61" s="232">
        <v>14292</v>
      </c>
      <c r="H61" t="str">
        <f>IFERROR(INDEX(DimosNaiOxi,MATCH(ΤΚ!E61,DimosNai,0)),"")</f>
        <v>ΝΑΙ</v>
      </c>
      <c r="I61" t="str">
        <f>LOOKUP(B61,ΠΕΡΙΦΕΡΕΙΑ!$A$2:$A$14,ΠΕΡΙΦΕΡΕΙΑ!$B$2:$B$14)</f>
        <v>Μερική</v>
      </c>
      <c r="J61">
        <f t="shared" si="5"/>
        <v>60</v>
      </c>
      <c r="K61" s="206">
        <f t="shared" si="1"/>
        <v>87</v>
      </c>
      <c r="L61" t="str">
        <f t="shared" si="2"/>
        <v>ΑΤΤΙΚΗΣ</v>
      </c>
      <c r="M61" t="str">
        <f t="shared" si="3"/>
        <v>ΑΤΤΙΚΗΣ - ΧΑΛΑΝΔΡΙΟΥ</v>
      </c>
      <c r="N61" s="204">
        <f t="shared" si="4"/>
        <v>14536</v>
      </c>
      <c r="O61" s="204" t="str">
        <f t="shared" si="6"/>
        <v>Χαλανδρίου</v>
      </c>
    </row>
    <row r="62" spans="1:15" x14ac:dyDescent="0.25">
      <c r="A62" s="206">
        <v>61</v>
      </c>
      <c r="B62" t="s">
        <v>40</v>
      </c>
      <c r="C62" t="s">
        <v>368</v>
      </c>
      <c r="D62" t="s">
        <v>82</v>
      </c>
      <c r="E62" t="str">
        <f t="shared" si="0"/>
        <v xml:space="preserve">ΑΤΤΙΚΗΣ - ΜΕΤΑΜΟΡΦΩΣΕΩΣ, </v>
      </c>
      <c r="F62" s="232" t="s">
        <v>635</v>
      </c>
      <c r="G62" s="232">
        <v>14296</v>
      </c>
      <c r="H62" t="str">
        <f>IFERROR(INDEX(DimosNaiOxi,MATCH(ΤΚ!E62,DimosNai,0)),"")</f>
        <v>ΝΑΙ</v>
      </c>
      <c r="I62" t="str">
        <f>LOOKUP(B62,ΠΕΡΙΦΕΡΕΙΑ!$A$2:$A$14,ΠΕΡΙΦΕΡΕΙΑ!$B$2:$B$14)</f>
        <v>Μερική</v>
      </c>
      <c r="J62">
        <f t="shared" si="5"/>
        <v>61</v>
      </c>
      <c r="K62" s="206">
        <f t="shared" si="1"/>
        <v>98</v>
      </c>
      <c r="L62" t="str">
        <f t="shared" si="2"/>
        <v>ΔΥΤΙΚΗΣ ΕΛΛΑΔΑΣ</v>
      </c>
      <c r="M62" t="str">
        <f t="shared" si="3"/>
        <v>ΔΥΤΙΚΗΣ ΕΛΛΑΔΑΣ - ΑΓΡΙΝΙΟΥ</v>
      </c>
      <c r="N62" s="204">
        <f t="shared" si="4"/>
        <v>13944</v>
      </c>
      <c r="O62" s="204" t="str">
        <f t="shared" si="6"/>
        <v>Αγρινίου</v>
      </c>
    </row>
    <row r="63" spans="1:15" x14ac:dyDescent="0.25">
      <c r="A63" s="206">
        <v>62</v>
      </c>
      <c r="B63" t="s">
        <v>40</v>
      </c>
      <c r="C63" t="s">
        <v>373</v>
      </c>
      <c r="D63" t="s">
        <v>121</v>
      </c>
      <c r="E63" t="str">
        <f t="shared" si="0"/>
        <v xml:space="preserve">ΑΤΤΙΚΗΣ - ΜΟΣΧΑΤΟΥ – ΤΑΥΡΟΥ, </v>
      </c>
      <c r="F63" s="232" t="s">
        <v>636</v>
      </c>
      <c r="G63" s="232">
        <v>14304</v>
      </c>
      <c r="H63" t="str">
        <f>IFERROR(INDEX(DimosNaiOxi,MATCH(ΤΚ!E63,DimosNai,0)),"")</f>
        <v>ΝΑΙ</v>
      </c>
      <c r="I63" t="str">
        <f>LOOKUP(B63,ΠΕΡΙΦΕΡΕΙΑ!$A$2:$A$14,ΠΕΡΙΦΕΡΕΙΑ!$B$2:$B$14)</f>
        <v>Μερική</v>
      </c>
      <c r="J63">
        <f t="shared" si="5"/>
        <v>62</v>
      </c>
      <c r="K63" s="206">
        <f t="shared" si="1"/>
        <v>99</v>
      </c>
      <c r="L63" t="str">
        <f t="shared" si="2"/>
        <v>ΔΥΤΙΚΗΣ ΕΛΛΑΔΑΣ</v>
      </c>
      <c r="M63" t="str">
        <f t="shared" si="3"/>
        <v>ΔΥΤΙΚΗΣ ΕΛΛΑΔΑΣ - ΑΙΓΙΑΛΕΙΑΣ</v>
      </c>
      <c r="N63" s="204">
        <f t="shared" si="4"/>
        <v>13950</v>
      </c>
      <c r="O63" s="204" t="str">
        <f t="shared" si="6"/>
        <v>Αιγιαλείας</v>
      </c>
    </row>
    <row r="64" spans="1:15" x14ac:dyDescent="0.25">
      <c r="A64" s="206">
        <v>63</v>
      </c>
      <c r="B64" t="s">
        <v>40</v>
      </c>
      <c r="C64" t="s">
        <v>368</v>
      </c>
      <c r="D64" t="s">
        <v>83</v>
      </c>
      <c r="E64" t="str">
        <f t="shared" si="0"/>
        <v xml:space="preserve">ΑΤΤΙΚΗΣ - ΝΕΑΣ ΙΩΝΙΑΣ, </v>
      </c>
      <c r="F64" s="232" t="s">
        <v>637</v>
      </c>
      <c r="G64" s="232">
        <v>14320</v>
      </c>
      <c r="H64" t="str">
        <f>IFERROR(INDEX(DimosNaiOxi,MATCH(ΤΚ!E64,DimosNai,0)),"")</f>
        <v>ΝΑΙ</v>
      </c>
      <c r="I64" t="str">
        <f>LOOKUP(B64,ΠΕΡΙΦΕΡΕΙΑ!$A$2:$A$14,ΠΕΡΙΦΕΡΕΙΑ!$B$2:$B$14)</f>
        <v>Μερική</v>
      </c>
      <c r="J64">
        <f t="shared" si="5"/>
        <v>63</v>
      </c>
      <c r="K64" s="206">
        <f t="shared" si="1"/>
        <v>110</v>
      </c>
      <c r="L64" t="str">
        <f t="shared" si="2"/>
        <v>ΔΥΤΙΚΗΣ ΕΛΛΑΔΑΣ</v>
      </c>
      <c r="M64" t="str">
        <f t="shared" si="3"/>
        <v>ΔΥΤΙΚΗΣ ΕΛΛΑΔΑΣ - ΙΕΡΑΣ ΠΟΛΗΣ ΜΕΣΟΛΟΓΓΙΟΥ</v>
      </c>
      <c r="N64" s="204">
        <f t="shared" si="4"/>
        <v>14146</v>
      </c>
      <c r="O64" s="204" t="str">
        <f t="shared" si="6"/>
        <v>Ιεράς Πόλης Μεσολογγίου</v>
      </c>
    </row>
    <row r="65" spans="1:15" x14ac:dyDescent="0.25">
      <c r="A65" s="206">
        <v>64</v>
      </c>
      <c r="B65" t="s">
        <v>40</v>
      </c>
      <c r="C65" t="s">
        <v>373</v>
      </c>
      <c r="D65" t="s">
        <v>122</v>
      </c>
      <c r="E65" t="str">
        <f t="shared" si="0"/>
        <v xml:space="preserve">ΑΤΤΙΚΗΣ - ΝΕΑΣ ΣΜΥΡΝΗΣ, </v>
      </c>
      <c r="F65" s="232" t="s">
        <v>638</v>
      </c>
      <c r="G65" s="232">
        <v>14324</v>
      </c>
      <c r="H65" t="str">
        <f>IFERROR(INDEX(DimosNaiOxi,MATCH(ΤΚ!E65,DimosNai,0)),"")</f>
        <v>ΝΑΙ</v>
      </c>
      <c r="I65" t="str">
        <f>LOOKUP(B65,ΠΕΡΙΦΕΡΕΙΑ!$A$2:$A$14,ΠΕΡΙΦΕΡΕΙΑ!$B$2:$B$14)</f>
        <v>Μερική</v>
      </c>
      <c r="J65">
        <f t="shared" si="5"/>
        <v>64</v>
      </c>
      <c r="K65" s="206">
        <f t="shared" si="1"/>
        <v>112</v>
      </c>
      <c r="L65" t="str">
        <f t="shared" si="2"/>
        <v>ΔΥΤΙΚΗΣ ΕΛΛΑΔΑΣ</v>
      </c>
      <c r="M65" t="str">
        <f t="shared" si="3"/>
        <v>ΔΥΤΙΚΗΣ ΕΛΛΑΔΑΣ - ΝΑΥΠΑΚΤΙΑΣ</v>
      </c>
      <c r="N65" s="204">
        <f t="shared" si="4"/>
        <v>14332</v>
      </c>
      <c r="O65" s="204" t="str">
        <f t="shared" si="6"/>
        <v>Ναυπακτίας</v>
      </c>
    </row>
    <row r="66" spans="1:15" x14ac:dyDescent="0.25">
      <c r="A66" s="206">
        <v>65</v>
      </c>
      <c r="B66" t="s">
        <v>40</v>
      </c>
      <c r="C66" t="s">
        <v>127</v>
      </c>
      <c r="D66" t="s">
        <v>126</v>
      </c>
      <c r="E66" t="str">
        <f t="shared" ref="E66:E129" si="7">B66&amp;" - "&amp;D66&amp;", "</f>
        <v xml:space="preserve">ΑΤΤΙΚΗΣ - ΝΙΚΑΙΑΣ – ΑΓΙΟΥ ΙΩΑΝΝΗ ΡΕΝΤΗ, </v>
      </c>
      <c r="F66" s="232" t="s">
        <v>639</v>
      </c>
      <c r="G66" s="232">
        <v>14328</v>
      </c>
      <c r="H66" t="str">
        <f>IFERROR(INDEX(DimosNaiOxi,MATCH(ΤΚ!E66,DimosNai,0)),"")</f>
        <v>ΝΑΙ</v>
      </c>
      <c r="I66" t="str">
        <f>LOOKUP(B66,ΠΕΡΙΦΕΡΕΙΑ!$A$2:$A$14,ΠΕΡΙΦΕΡΕΙΑ!$B$2:$B$14)</f>
        <v>Μερική</v>
      </c>
      <c r="J66">
        <f t="shared" si="5"/>
        <v>65</v>
      </c>
      <c r="K66" s="206">
        <f t="shared" ref="K66:K129" si="8">SMALL(J:J,A66)</f>
        <v>114</v>
      </c>
      <c r="L66" t="str">
        <f t="shared" ref="L66:L129" si="9">IF(ISNUMBER(K66),LOOKUP(K66,A:A,B:B),"")</f>
        <v>ΔΥΤΙΚΗΣ ΕΛΛΑΔΑΣ</v>
      </c>
      <c r="M66" t="str">
        <f t="shared" ref="M66:M129" si="10">IF(ISNUMBER(K66),LOOKUP(K66,A:A,B:B)&amp;" - "&amp;LOOKUP(K66,A:A,D:D),"")</f>
        <v>ΔΥΤΙΚΗΣ ΕΛΛΑΔΑΣ - ΠΑΤΡΕΩΝ</v>
      </c>
      <c r="N66" s="204">
        <f t="shared" si="4"/>
        <v>14402</v>
      </c>
      <c r="O66" s="204" t="str">
        <f t="shared" si="6"/>
        <v>Πατρέων</v>
      </c>
    </row>
    <row r="67" spans="1:15" x14ac:dyDescent="0.25">
      <c r="A67" s="206">
        <v>66</v>
      </c>
      <c r="B67" t="s">
        <v>40</v>
      </c>
      <c r="C67" t="s">
        <v>367</v>
      </c>
      <c r="D67" t="s">
        <v>70</v>
      </c>
      <c r="E67" t="str">
        <f t="shared" si="7"/>
        <v xml:space="preserve">ΑΤΤΙΚΗΣ - ΠΑΙΑΝΙΑΣ, </v>
      </c>
      <c r="F67" s="232" t="s">
        <v>640</v>
      </c>
      <c r="G67" s="232">
        <v>14386</v>
      </c>
      <c r="H67" t="str">
        <f>IFERROR(INDEX(DimosNaiOxi,MATCH(ΤΚ!E67,DimosNai,0)),"")</f>
        <v>ΝΑΙ</v>
      </c>
      <c r="I67" t="str">
        <f>LOOKUP(B67,ΠΕΡΙΦΕΡΕΙΑ!$A$2:$A$14,ΠΕΡΙΦΕΡΕΙΑ!$B$2:$B$14)</f>
        <v>Μερική</v>
      </c>
      <c r="J67">
        <f t="shared" ref="J67:J130" si="11">IF(OR(AND(I67="Μερική",H67="ΝΑΙ"),I67="Ολική"),A67,"")</f>
        <v>66</v>
      </c>
      <c r="K67" s="206">
        <f t="shared" si="8"/>
        <v>116</v>
      </c>
      <c r="L67" t="str">
        <f t="shared" si="9"/>
        <v>ΔΥΤΙΚΗΣ ΕΛΛΑΔΑΣ</v>
      </c>
      <c r="M67" t="str">
        <f t="shared" si="10"/>
        <v>ΔΥΤΙΚΗΣ ΕΛΛΑΔΑΣ - ΠΥΡΓΟΥ</v>
      </c>
      <c r="N67" s="204">
        <f t="shared" ref="N67:N130" si="12">IF(ISNUMBER(K67),LOOKUP(K67,A:A,G:G),"")</f>
        <v>14380</v>
      </c>
      <c r="O67" s="204" t="str">
        <f t="shared" ref="O67:O130" si="13">IF(ISNUMBER(K67),LOOKUP(K67,A:A,F:F),"")</f>
        <v>Πύργου</v>
      </c>
    </row>
    <row r="68" spans="1:15" x14ac:dyDescent="0.25">
      <c r="A68" s="206">
        <v>67</v>
      </c>
      <c r="B68" t="s">
        <v>40</v>
      </c>
      <c r="C68" t="s">
        <v>373</v>
      </c>
      <c r="D68" t="s">
        <v>123</v>
      </c>
      <c r="E68" t="str">
        <f t="shared" si="7"/>
        <v xml:space="preserve">ΑΤΤΙΚΗΣ - ΠΑΛΑΙΟΥ ΦΑΛΗΡΟΥ, </v>
      </c>
      <c r="F68" s="232" t="s">
        <v>641</v>
      </c>
      <c r="G68" s="232">
        <v>14390</v>
      </c>
      <c r="H68" t="str">
        <f>IFERROR(INDEX(DimosNaiOxi,MATCH(ΤΚ!E68,DimosNai,0)),"")</f>
        <v>ΝΑΙ</v>
      </c>
      <c r="I68" t="str">
        <f>LOOKUP(B68,ΠΕΡΙΦΕΡΕΙΑ!$A$2:$A$14,ΠΕΡΙΦΕΡΕΙΑ!$B$2:$B$14)</f>
        <v>Μερική</v>
      </c>
      <c r="J68">
        <f t="shared" si="11"/>
        <v>67</v>
      </c>
      <c r="K68" s="206">
        <f t="shared" si="8"/>
        <v>117</v>
      </c>
      <c r="L68" t="str">
        <f t="shared" si="9"/>
        <v>ΔΥΤΙΚΗΣ ΜΑΚΕΔΟΝΙΑΣ</v>
      </c>
      <c r="M68" t="str">
        <f t="shared" si="10"/>
        <v>ΔΥΤΙΚΗΣ ΜΑΚΕΔΟΝΙΑΣ - ΑΜΥΝΤΑΙΟΥ</v>
      </c>
      <c r="N68" s="204">
        <f t="shared" si="12"/>
        <v>13974</v>
      </c>
      <c r="O68" s="204" t="str">
        <f t="shared" si="13"/>
        <v>Αμυνταίου</v>
      </c>
    </row>
    <row r="69" spans="1:15" x14ac:dyDescent="0.25">
      <c r="A69" s="206">
        <v>68</v>
      </c>
      <c r="B69" t="s">
        <v>40</v>
      </c>
      <c r="C69" t="s">
        <v>367</v>
      </c>
      <c r="D69" t="s">
        <v>71</v>
      </c>
      <c r="E69" t="str">
        <f t="shared" si="7"/>
        <v xml:space="preserve">ΑΤΤΙΚΗΣ - ΠΑΛΛΗΝΗΣ, </v>
      </c>
      <c r="F69" s="232" t="s">
        <v>642</v>
      </c>
      <c r="G69" s="232">
        <v>14394</v>
      </c>
      <c r="H69" t="str">
        <f>IFERROR(INDEX(DimosNaiOxi,MATCH(ΤΚ!E69,DimosNai,0)),"")</f>
        <v>ΝΑΙ</v>
      </c>
      <c r="I69" t="str">
        <f>LOOKUP(B69,ΠΕΡΙΦΕΡΕΙΑ!$A$2:$A$14,ΠΕΡΙΦΕΡΕΙΑ!$B$2:$B$14)</f>
        <v>Μερική</v>
      </c>
      <c r="J69">
        <f t="shared" si="11"/>
        <v>68</v>
      </c>
      <c r="K69" s="206">
        <f t="shared" si="8"/>
        <v>118</v>
      </c>
      <c r="L69" t="str">
        <f t="shared" si="9"/>
        <v>ΔΥΤΙΚΗΣ ΜΑΚΕΔΟΝΙΑΣ</v>
      </c>
      <c r="M69" t="str">
        <f t="shared" si="10"/>
        <v>ΔΥΤΙΚΗΣ ΜΑΚΕΔΟΝΙΑΣ - ΒΟΪΟΥ</v>
      </c>
      <c r="N69" s="204">
        <f t="shared" si="12"/>
        <v>14034</v>
      </c>
      <c r="O69" s="204" t="str">
        <f t="shared" si="13"/>
        <v>Βοϊου</v>
      </c>
    </row>
    <row r="70" spans="1:15" x14ac:dyDescent="0.25">
      <c r="A70" s="206">
        <v>69</v>
      </c>
      <c r="B70" t="s">
        <v>40</v>
      </c>
      <c r="C70" t="s">
        <v>368</v>
      </c>
      <c r="D70" t="s">
        <v>84</v>
      </c>
      <c r="E70" t="str">
        <f t="shared" si="7"/>
        <v xml:space="preserve">ΑΤΤΙΚΗΣ - ΠΑΠΑΓΟΥ – ΧΟΛΑΡΓΟΥ, </v>
      </c>
      <c r="F70" s="232" t="s">
        <v>643</v>
      </c>
      <c r="G70" s="232">
        <v>14398</v>
      </c>
      <c r="H70" t="str">
        <f>IFERROR(INDEX(DimosNaiOxi,MATCH(ΤΚ!E70,DimosNai,0)),"")</f>
        <v>ΝΑΙ</v>
      </c>
      <c r="I70" t="str">
        <f>LOOKUP(B70,ΠΕΡΙΦΕΡΕΙΑ!$A$2:$A$14,ΠΕΡΙΦΕΡΕΙΑ!$B$2:$B$14)</f>
        <v>Μερική</v>
      </c>
      <c r="J70">
        <f t="shared" si="11"/>
        <v>69</v>
      </c>
      <c r="K70" s="206">
        <f t="shared" si="8"/>
        <v>119</v>
      </c>
      <c r="L70" t="str">
        <f t="shared" si="9"/>
        <v>ΔΥΤΙΚΗΣ ΜΑΚΕΔΟΝΙΑΣ</v>
      </c>
      <c r="M70" t="str">
        <f t="shared" si="10"/>
        <v>ΔΥΤΙΚΗΣ ΜΑΚΕΔΟΝΙΑΣ - ΓΡΕΒΕΝΩΝ</v>
      </c>
      <c r="N70" s="204">
        <f t="shared" si="12"/>
        <v>14050</v>
      </c>
      <c r="O70" s="204" t="str">
        <f t="shared" si="13"/>
        <v>Γρεβενών</v>
      </c>
    </row>
    <row r="71" spans="1:15" x14ac:dyDescent="0.25">
      <c r="A71" s="206">
        <v>70</v>
      </c>
      <c r="B71" t="s">
        <v>40</v>
      </c>
      <c r="C71" t="s">
        <v>127</v>
      </c>
      <c r="D71" t="s">
        <v>127</v>
      </c>
      <c r="E71" t="str">
        <f t="shared" si="7"/>
        <v xml:space="preserve">ΑΤΤΙΚΗΣ - ΠΕΙΡΑΙΩΣ, </v>
      </c>
      <c r="F71" s="232" t="s">
        <v>644</v>
      </c>
      <c r="G71" s="232">
        <v>14404</v>
      </c>
      <c r="H71" t="str">
        <f>IFERROR(INDEX(DimosNaiOxi,MATCH(ΤΚ!E71,DimosNai,0)),"")</f>
        <v>ΝΑΙ</v>
      </c>
      <c r="I71" t="str">
        <f>LOOKUP(B71,ΠΕΡΙΦΕΡΕΙΑ!$A$2:$A$14,ΠΕΡΙΦΕΡΕΙΑ!$B$2:$B$14)</f>
        <v>Μερική</v>
      </c>
      <c r="J71">
        <f t="shared" si="11"/>
        <v>70</v>
      </c>
      <c r="K71" s="206">
        <f t="shared" si="8"/>
        <v>120</v>
      </c>
      <c r="L71" t="str">
        <f t="shared" si="9"/>
        <v>ΔΥΤΙΚΗΣ ΜΑΚΕΔΟΝΙΑΣ</v>
      </c>
      <c r="M71" t="str">
        <f t="shared" si="10"/>
        <v>ΔΥΤΙΚΗΣ ΜΑΚΕΔΟΝΙΑΣ - ΔΕΣΚΑΤΗΣ</v>
      </c>
      <c r="N71" s="204">
        <f t="shared" si="12"/>
        <v>14060</v>
      </c>
      <c r="O71" s="204" t="str">
        <f t="shared" si="13"/>
        <v>Δεσκάτης</v>
      </c>
    </row>
    <row r="72" spans="1:15" x14ac:dyDescent="0.25">
      <c r="A72" s="206">
        <v>71</v>
      </c>
      <c r="B72" t="s">
        <v>40</v>
      </c>
      <c r="C72" t="s">
        <v>368</v>
      </c>
      <c r="D72" t="s">
        <v>85</v>
      </c>
      <c r="E72" t="str">
        <f t="shared" si="7"/>
        <v xml:space="preserve">ΑΤΤΙΚΗΣ - ΠΕΝΤΕΛΗΣ, </v>
      </c>
      <c r="F72" s="232" t="s">
        <v>645</v>
      </c>
      <c r="G72" s="232">
        <v>14406</v>
      </c>
      <c r="H72" t="str">
        <f>IFERROR(INDEX(DimosNaiOxi,MATCH(ΤΚ!E72,DimosNai,0)),"")</f>
        <v>ΝΑΙ</v>
      </c>
      <c r="I72" t="str">
        <f>LOOKUP(B72,ΠΕΡΙΦΕΡΕΙΑ!$A$2:$A$14,ΠΕΡΙΦΕΡΕΙΑ!$B$2:$B$14)</f>
        <v>Μερική</v>
      </c>
      <c r="J72">
        <f t="shared" si="11"/>
        <v>71</v>
      </c>
      <c r="K72" s="206">
        <f t="shared" si="8"/>
        <v>121</v>
      </c>
      <c r="L72" t="str">
        <f t="shared" si="9"/>
        <v>ΔΥΤΙΚΗΣ ΜΑΚΕΔΟΝΙΑΣ</v>
      </c>
      <c r="M72" t="str">
        <f t="shared" si="10"/>
        <v>ΔΥΤΙΚΗΣ ΜΑΚΕΔΟΝΙΑΣ - ΕΟΡΔΑΙΑΣ</v>
      </c>
      <c r="N72" s="204">
        <f t="shared" si="12"/>
        <v>14094</v>
      </c>
      <c r="O72" s="204" t="str">
        <f t="shared" si="13"/>
        <v>Εορδαίας</v>
      </c>
    </row>
    <row r="73" spans="1:15" x14ac:dyDescent="0.25">
      <c r="A73" s="206">
        <v>72</v>
      </c>
      <c r="B73" t="s">
        <v>40</v>
      </c>
      <c r="C73" t="s">
        <v>127</v>
      </c>
      <c r="D73" t="s">
        <v>128</v>
      </c>
      <c r="E73" t="str">
        <f t="shared" si="7"/>
        <v xml:space="preserve">ΑΤΤΙΚΗΣ - ΠΕΡΑΜΑΤΟΣ, </v>
      </c>
      <c r="F73" s="232" t="s">
        <v>646</v>
      </c>
      <c r="G73" s="232">
        <v>14408</v>
      </c>
      <c r="H73" t="str">
        <f>IFERROR(INDEX(DimosNaiOxi,MATCH(ΤΚ!E73,DimosNai,0)),"")</f>
        <v>ΝΑΙ</v>
      </c>
      <c r="I73" t="str">
        <f>LOOKUP(B73,ΠΕΡΙΦΕΡΕΙΑ!$A$2:$A$14,ΠΕΡΙΦΕΡΕΙΑ!$B$2:$B$14)</f>
        <v>Μερική</v>
      </c>
      <c r="J73">
        <f t="shared" si="11"/>
        <v>72</v>
      </c>
      <c r="K73" s="206">
        <f t="shared" si="8"/>
        <v>122</v>
      </c>
      <c r="L73" t="str">
        <f t="shared" si="9"/>
        <v>ΔΥΤΙΚΗΣ ΜΑΚΕΔΟΝΙΑΣ</v>
      </c>
      <c r="M73" t="str">
        <f t="shared" si="10"/>
        <v>ΔΥΤΙΚΗΣ ΜΑΚΕΔΟΝΙΑΣ - ΚΑΣΤΟΡΙΑΣ</v>
      </c>
      <c r="N73" s="204">
        <f t="shared" si="12"/>
        <v>14202</v>
      </c>
      <c r="O73" s="204" t="str">
        <f t="shared" si="13"/>
        <v>Καστοριάς</v>
      </c>
    </row>
    <row r="74" spans="1:15" x14ac:dyDescent="0.25">
      <c r="A74" s="206">
        <v>73</v>
      </c>
      <c r="B74" t="s">
        <v>40</v>
      </c>
      <c r="C74" t="s">
        <v>370</v>
      </c>
      <c r="D74" t="s">
        <v>97</v>
      </c>
      <c r="E74" t="str">
        <f t="shared" si="7"/>
        <v xml:space="preserve">ΑΤΤΙΚΗΣ - ΠΕΡΙΣΤΕΡΙΟΥ, </v>
      </c>
      <c r="F74" s="232" t="s">
        <v>647</v>
      </c>
      <c r="G74" s="232">
        <v>14410</v>
      </c>
      <c r="H74" t="str">
        <f>IFERROR(INDEX(DimosNaiOxi,MATCH(ΤΚ!E74,DimosNai,0)),"")</f>
        <v>ΝΑΙ</v>
      </c>
      <c r="I74" t="str">
        <f>LOOKUP(B74,ΠΕΡΙΦΕΡΕΙΑ!$A$2:$A$14,ΠΕΡΙΦΕΡΕΙΑ!$B$2:$B$14)</f>
        <v>Μερική</v>
      </c>
      <c r="J74">
        <f t="shared" si="11"/>
        <v>73</v>
      </c>
      <c r="K74" s="206">
        <f t="shared" si="8"/>
        <v>123</v>
      </c>
      <c r="L74" t="str">
        <f t="shared" si="9"/>
        <v>ΔΥΤΙΚΗΣ ΜΑΚΕΔΟΝΙΑΣ</v>
      </c>
      <c r="M74" t="str">
        <f t="shared" si="10"/>
        <v>ΔΥΤΙΚΗΣ ΜΑΚΕΔΟΝΙΑΣ - ΚΟΖΑΝΗΣ</v>
      </c>
      <c r="N74" s="204">
        <f t="shared" si="12"/>
        <v>14222</v>
      </c>
      <c r="O74" s="204" t="str">
        <f t="shared" si="13"/>
        <v>Κοζάνης</v>
      </c>
    </row>
    <row r="75" spans="1:15" x14ac:dyDescent="0.25">
      <c r="A75" s="206">
        <v>74</v>
      </c>
      <c r="B75" t="s">
        <v>40</v>
      </c>
      <c r="C75" t="s">
        <v>370</v>
      </c>
      <c r="D75" t="s">
        <v>98</v>
      </c>
      <c r="E75" t="str">
        <f t="shared" si="7"/>
        <v xml:space="preserve">ΑΤΤΙΚΗΣ - ΠΕΤΡΟΥΠΟΛΕΩΣ, </v>
      </c>
      <c r="F75" s="232" t="s">
        <v>648</v>
      </c>
      <c r="G75" s="232">
        <v>14412</v>
      </c>
      <c r="H75" t="str">
        <f>IFERROR(INDEX(DimosNaiOxi,MATCH(ΤΚ!E75,DimosNai,0)),"")</f>
        <v>ΝΑΙ</v>
      </c>
      <c r="I75" t="str">
        <f>LOOKUP(B75,ΠΕΡΙΦΕΡΕΙΑ!$A$2:$A$14,ΠΕΡΙΦΕΡΕΙΑ!$B$2:$B$14)</f>
        <v>Μερική</v>
      </c>
      <c r="J75">
        <f t="shared" si="11"/>
        <v>74</v>
      </c>
      <c r="K75" s="206">
        <f t="shared" si="8"/>
        <v>124</v>
      </c>
      <c r="L75" t="str">
        <f t="shared" si="9"/>
        <v>ΔΥΤΙΚΗΣ ΜΑΚΕΔΟΝΙΑΣ</v>
      </c>
      <c r="M75" t="str">
        <f t="shared" si="10"/>
        <v>ΔΥΤΙΚΗΣ ΜΑΚΕΔΟΝΙΑΣ - ΝΕΣΤΟΡΙΟΥ</v>
      </c>
      <c r="N75" s="204">
        <f t="shared" si="12"/>
        <v>14338</v>
      </c>
      <c r="O75" s="204" t="str">
        <f t="shared" si="13"/>
        <v>Νεστορίου</v>
      </c>
    </row>
    <row r="76" spans="1:15" x14ac:dyDescent="0.25">
      <c r="A76" s="206">
        <v>75</v>
      </c>
      <c r="B76" t="s">
        <v>40</v>
      </c>
      <c r="C76" t="s">
        <v>372</v>
      </c>
      <c r="D76" t="s">
        <v>111</v>
      </c>
      <c r="E76" t="str">
        <f t="shared" si="7"/>
        <v xml:space="preserve">ΑΤΤΙΚΗΣ - ΠΟΡΟΥ, </v>
      </c>
      <c r="F76" s="232" t="s">
        <v>649</v>
      </c>
      <c r="G76" s="232">
        <v>14372</v>
      </c>
      <c r="H76" t="str">
        <f>IFERROR(INDEX(DimosNaiOxi,MATCH(ΤΚ!E76,DimosNai,0)),"")</f>
        <v/>
      </c>
      <c r="I76" t="str">
        <f>LOOKUP(B76,ΠΕΡΙΦΕΡΕΙΑ!$A$2:$A$14,ΠΕΡΙΦΕΡΕΙΑ!$B$2:$B$14)</f>
        <v>Μερική</v>
      </c>
      <c r="J76" t="str">
        <f t="shared" si="11"/>
        <v/>
      </c>
      <c r="K76" s="206">
        <f t="shared" si="8"/>
        <v>125</v>
      </c>
      <c r="L76" t="str">
        <f t="shared" si="9"/>
        <v>ΔΥΤΙΚΗΣ ΜΑΚΕΔΟΝΙΑΣ</v>
      </c>
      <c r="M76" t="str">
        <f t="shared" si="10"/>
        <v>ΔΥΤΙΚΗΣ ΜΑΚΕΔΟΝΙΑΣ - ΟΡΕΣΤΙΔΟΣ</v>
      </c>
      <c r="N76" s="204">
        <f t="shared" si="12"/>
        <v>14356</v>
      </c>
      <c r="O76" s="204" t="str">
        <f t="shared" si="13"/>
        <v>Ορεστίδος</v>
      </c>
    </row>
    <row r="77" spans="1:15" x14ac:dyDescent="0.25">
      <c r="A77" s="206">
        <v>76</v>
      </c>
      <c r="B77" t="s">
        <v>40</v>
      </c>
      <c r="C77" t="s">
        <v>367</v>
      </c>
      <c r="D77" t="s">
        <v>72</v>
      </c>
      <c r="E77" t="str">
        <f t="shared" si="7"/>
        <v xml:space="preserve">ΑΤΤΙΚΗΣ - ΡΑΦΗΝΑΣ – ΠΙΚΕΡΜΙΟΥ, </v>
      </c>
      <c r="F77" s="232" t="s">
        <v>650</v>
      </c>
      <c r="G77" s="232">
        <v>14434</v>
      </c>
      <c r="H77" t="str">
        <f>IFERROR(INDEX(DimosNaiOxi,MATCH(ΤΚ!E77,DimosNai,0)),"")</f>
        <v>ΝΑΙ</v>
      </c>
      <c r="I77" t="str">
        <f>LOOKUP(B77,ΠΕΡΙΦΕΡΕΙΑ!$A$2:$A$14,ΠΕΡΙΦΕΡΕΙΑ!$B$2:$B$14)</f>
        <v>Μερική</v>
      </c>
      <c r="J77">
        <f t="shared" si="11"/>
        <v>76</v>
      </c>
      <c r="K77" s="206">
        <f t="shared" si="8"/>
        <v>127</v>
      </c>
      <c r="L77" t="str">
        <f t="shared" si="9"/>
        <v>ΔΥΤΙΚΗΣ ΜΑΚΕΔΟΝΙΑΣ</v>
      </c>
      <c r="M77" t="str">
        <f t="shared" si="10"/>
        <v>ΔΥΤΙΚΗΣ ΜΑΚΕΔΟΝΙΑΣ - ΣΕΡΒΙΩΝ – ΒΕΛΒΕΝΤΟΥ</v>
      </c>
      <c r="N77" s="204">
        <f t="shared" si="12"/>
        <v>14454</v>
      </c>
      <c r="O77" s="204" t="str">
        <f t="shared" si="13"/>
        <v>Σερβίων - Βελβεντού</v>
      </c>
    </row>
    <row r="78" spans="1:15" x14ac:dyDescent="0.25">
      <c r="A78" s="206">
        <v>77</v>
      </c>
      <c r="B78" t="s">
        <v>40</v>
      </c>
      <c r="C78" t="s">
        <v>372</v>
      </c>
      <c r="D78" t="s">
        <v>112</v>
      </c>
      <c r="E78" t="str">
        <f t="shared" si="7"/>
        <v xml:space="preserve">ΑΤΤΙΚΗΣ - ΣΑΛΑΜΙΝΟΣ, </v>
      </c>
      <c r="F78" s="232" t="s">
        <v>651</v>
      </c>
      <c r="G78" s="232">
        <v>14446</v>
      </c>
      <c r="H78" t="str">
        <f>IFERROR(INDEX(DimosNaiOxi,MATCH(ΤΚ!E78,DimosNai,0)),"")</f>
        <v>ΝΑΙ</v>
      </c>
      <c r="I78" t="str">
        <f>LOOKUP(B78,ΠΕΡΙΦΕΡΕΙΑ!$A$2:$A$14,ΠΕΡΙΦΕΡΕΙΑ!$B$2:$B$14)</f>
        <v>Μερική</v>
      </c>
      <c r="J78">
        <f t="shared" si="11"/>
        <v>77</v>
      </c>
      <c r="K78" s="206">
        <f t="shared" si="8"/>
        <v>128</v>
      </c>
      <c r="L78" t="str">
        <f t="shared" si="9"/>
        <v>ΔΥΤΙΚΗΣ ΜΑΚΕΔΟΝΙΑΣ</v>
      </c>
      <c r="M78" t="str">
        <f t="shared" si="10"/>
        <v>ΔΥΤΙΚΗΣ ΜΑΚΕΔΟΝΙΑΣ - ΦΛΩΡΙΝΑΣ</v>
      </c>
      <c r="N78" s="204">
        <f t="shared" si="12"/>
        <v>14524</v>
      </c>
      <c r="O78" s="204" t="str">
        <f t="shared" si="13"/>
        <v>Φλώρινας</v>
      </c>
    </row>
    <row r="79" spans="1:15" x14ac:dyDescent="0.25">
      <c r="A79" s="206">
        <v>78</v>
      </c>
      <c r="B79" t="s">
        <v>40</v>
      </c>
      <c r="C79" t="s">
        <v>367</v>
      </c>
      <c r="D79" t="s">
        <v>73</v>
      </c>
      <c r="E79" t="str">
        <f t="shared" si="7"/>
        <v xml:space="preserve">ΑΤΤΙΚΗΣ - ΣΑΡΩΝΙΚΟΥ, </v>
      </c>
      <c r="F79" s="232" t="s">
        <v>652</v>
      </c>
      <c r="G79" s="232">
        <v>14450</v>
      </c>
      <c r="H79" t="str">
        <f>IFERROR(INDEX(DimosNaiOxi,MATCH(ΤΚ!E79,DimosNai,0)),"")</f>
        <v/>
      </c>
      <c r="I79" t="str">
        <f>LOOKUP(B79,ΠΕΡΙΦΕΡΕΙΑ!$A$2:$A$14,ΠΕΡΙΦΕΡΕΙΑ!$B$2:$B$14)</f>
        <v>Μερική</v>
      </c>
      <c r="J79" t="str">
        <f t="shared" si="11"/>
        <v/>
      </c>
      <c r="K79" s="206">
        <f t="shared" si="8"/>
        <v>129</v>
      </c>
      <c r="L79" t="str">
        <f t="shared" si="9"/>
        <v>ΗΠΕΙΡΟΥ</v>
      </c>
      <c r="M79" t="str">
        <f t="shared" si="10"/>
        <v>ΗΠΕΙΡΟΥ - ΑΡΤΑΙΩΝ</v>
      </c>
      <c r="N79" s="204">
        <f t="shared" si="12"/>
        <v>14002</v>
      </c>
      <c r="O79" s="204" t="str">
        <f t="shared" si="13"/>
        <v>Αρταίων</v>
      </c>
    </row>
    <row r="80" spans="1:15" x14ac:dyDescent="0.25">
      <c r="A80" s="206">
        <v>79</v>
      </c>
      <c r="B80" t="s">
        <v>40</v>
      </c>
      <c r="C80" t="s">
        <v>367</v>
      </c>
      <c r="D80" t="s">
        <v>74</v>
      </c>
      <c r="E80" t="str">
        <f t="shared" si="7"/>
        <v xml:space="preserve">ΑΤΤΙΚΗΣ - ΣΠΑΤΩΝ – ΑΡΤΕΜΙΔΟΣ, </v>
      </c>
      <c r="F80" s="232" t="s">
        <v>653</v>
      </c>
      <c r="G80" s="232">
        <v>14484</v>
      </c>
      <c r="H80" t="str">
        <f>IFERROR(INDEX(DimosNaiOxi,MATCH(ΤΚ!E80,DimosNai,0)),"")</f>
        <v>ΝΑΙ</v>
      </c>
      <c r="I80" t="str">
        <f>LOOKUP(B80,ΠΕΡΙΦΕΡΕΙΑ!$A$2:$A$14,ΠΕΡΙΦΕΡΕΙΑ!$B$2:$B$14)</f>
        <v>Μερική</v>
      </c>
      <c r="J80">
        <f t="shared" si="11"/>
        <v>79</v>
      </c>
      <c r="K80" s="206">
        <f t="shared" si="8"/>
        <v>134</v>
      </c>
      <c r="L80" t="str">
        <f t="shared" si="9"/>
        <v>ΗΠΕΙΡΟΥ</v>
      </c>
      <c r="M80" t="str">
        <f t="shared" si="10"/>
        <v>ΗΠΕΙΡΟΥ - ΖΗΡΟΥ</v>
      </c>
      <c r="N80" s="204">
        <f t="shared" si="12"/>
        <v>14116</v>
      </c>
      <c r="O80" s="204" t="str">
        <f t="shared" si="13"/>
        <v>Ζηρού</v>
      </c>
    </row>
    <row r="81" spans="1:15" x14ac:dyDescent="0.25">
      <c r="A81" s="206">
        <v>80</v>
      </c>
      <c r="B81" t="s">
        <v>40</v>
      </c>
      <c r="C81" t="s">
        <v>372</v>
      </c>
      <c r="D81" t="s">
        <v>113</v>
      </c>
      <c r="E81" t="str">
        <f t="shared" si="7"/>
        <v xml:space="preserve">ΑΤΤΙΚΗΣ - ΣΠΕΤΣΩΝ, </v>
      </c>
      <c r="F81" s="232" t="s">
        <v>654</v>
      </c>
      <c r="G81" s="232">
        <v>14486</v>
      </c>
      <c r="H81" t="str">
        <f>IFERROR(INDEX(DimosNaiOxi,MATCH(ΤΚ!E81,DimosNai,0)),"")</f>
        <v/>
      </c>
      <c r="I81" t="str">
        <f>LOOKUP(B81,ΠΕΡΙΦΕΡΕΙΑ!$A$2:$A$14,ΠΕΡΙΦΕΡΕΙΑ!$B$2:$B$14)</f>
        <v>Μερική</v>
      </c>
      <c r="J81" t="str">
        <f t="shared" si="11"/>
        <v/>
      </c>
      <c r="K81" s="206">
        <f t="shared" si="8"/>
        <v>135</v>
      </c>
      <c r="L81" t="str">
        <f t="shared" si="9"/>
        <v>ΗΠΕΙΡΟΥ</v>
      </c>
      <c r="M81" t="str">
        <f t="shared" si="10"/>
        <v>ΗΠΕΙΡΟΥ - ΖΙΤΣΑΣ</v>
      </c>
      <c r="N81" s="204">
        <f t="shared" si="12"/>
        <v>14106</v>
      </c>
      <c r="O81" s="204" t="str">
        <f t="shared" si="13"/>
        <v>Ζίτσας</v>
      </c>
    </row>
    <row r="82" spans="1:15" x14ac:dyDescent="0.25">
      <c r="A82" s="206">
        <v>81</v>
      </c>
      <c r="B82" t="s">
        <v>40</v>
      </c>
      <c r="C82" t="s">
        <v>372</v>
      </c>
      <c r="D82" t="s">
        <v>114</v>
      </c>
      <c r="E82" t="str">
        <f t="shared" si="7"/>
        <v xml:space="preserve">ΑΤΤΙΚΗΣ - ΤΡΟΙΖΗΝΙΑΣ, </v>
      </c>
      <c r="F82" s="232" t="s">
        <v>655</v>
      </c>
      <c r="G82" s="232">
        <v>14508</v>
      </c>
      <c r="H82" t="str">
        <f>IFERROR(INDEX(DimosNaiOxi,MATCH(ΤΚ!E82,DimosNai,0)),"")</f>
        <v/>
      </c>
      <c r="I82" t="str">
        <f>LOOKUP(B82,ΠΕΡΙΦΕΡΕΙΑ!$A$2:$A$14,ΠΕΡΙΦΕΡΕΙΑ!$B$2:$B$14)</f>
        <v>Μερική</v>
      </c>
      <c r="J82" t="str">
        <f t="shared" si="11"/>
        <v/>
      </c>
      <c r="K82" s="206">
        <f t="shared" si="8"/>
        <v>137</v>
      </c>
      <c r="L82" t="str">
        <f t="shared" si="9"/>
        <v>ΗΠΕΙΡΟΥ</v>
      </c>
      <c r="M82" t="str">
        <f t="shared" si="10"/>
        <v>ΗΠΕΙΡΟΥ - ΙΩΑΝΝΙΤΩΝ</v>
      </c>
      <c r="N82" s="204">
        <f t="shared" si="12"/>
        <v>14158</v>
      </c>
      <c r="O82" s="204" t="str">
        <f t="shared" si="13"/>
        <v>Ιωαννιτών</v>
      </c>
    </row>
    <row r="83" spans="1:15" x14ac:dyDescent="0.25">
      <c r="A83" s="206">
        <v>82</v>
      </c>
      <c r="B83" t="s">
        <v>40</v>
      </c>
      <c r="C83" t="s">
        <v>372</v>
      </c>
      <c r="D83" t="s">
        <v>115</v>
      </c>
      <c r="E83" t="str">
        <f t="shared" si="7"/>
        <v xml:space="preserve">ΑΤΤΙΚΗΣ - ΥΔΡΑΣ, </v>
      </c>
      <c r="F83" s="232" t="s">
        <v>656</v>
      </c>
      <c r="G83" s="232">
        <v>13916</v>
      </c>
      <c r="H83" t="str">
        <f>IFERROR(INDEX(DimosNaiOxi,MATCH(ΤΚ!E83,DimosNai,0)),"")</f>
        <v/>
      </c>
      <c r="I83" t="str">
        <f>LOOKUP(B83,ΠΕΡΙΦΕΡΕΙΑ!$A$2:$A$14,ΠΕΡΙΦΕΡΕΙΑ!$B$2:$B$14)</f>
        <v>Μερική</v>
      </c>
      <c r="J83" t="str">
        <f t="shared" si="11"/>
        <v/>
      </c>
      <c r="K83" s="206">
        <f t="shared" si="8"/>
        <v>140</v>
      </c>
      <c r="L83" t="str">
        <f t="shared" si="9"/>
        <v>ΗΠΕΙΡΟΥ</v>
      </c>
      <c r="M83" t="str">
        <f t="shared" si="10"/>
        <v>ΗΠΕΙΡΟΥ - ΜΕΤΣΟΒΟΥ</v>
      </c>
      <c r="N83" s="204">
        <f t="shared" si="12"/>
        <v>14298</v>
      </c>
      <c r="O83" s="204" t="str">
        <f t="shared" si="13"/>
        <v>Μετσόβου</v>
      </c>
    </row>
    <row r="84" spans="1:15" x14ac:dyDescent="0.25">
      <c r="A84" s="206">
        <v>83</v>
      </c>
      <c r="B84" t="s">
        <v>40</v>
      </c>
      <c r="C84" t="s">
        <v>371</v>
      </c>
      <c r="D84" t="s">
        <v>107</v>
      </c>
      <c r="E84" t="str">
        <f t="shared" si="7"/>
        <v xml:space="preserve">ΑΤΤΙΚΗΣ - ΦΙΛΑΔΕΛΦΕΙΑΣ – ΧΑΛΚΗΔΟΝΟΣ, </v>
      </c>
      <c r="F84" s="232" t="s">
        <v>657</v>
      </c>
      <c r="G84" s="232">
        <v>14518</v>
      </c>
      <c r="H84" t="str">
        <f>IFERROR(INDEX(DimosNaiOxi,MATCH(ΤΚ!E84,DimosNai,0)),"")</f>
        <v>ΝΑΙ</v>
      </c>
      <c r="I84" t="str">
        <f>LOOKUP(B84,ΠΕΡΙΦΕΡΕΙΑ!$A$2:$A$14,ΠΕΡΙΦΕΡΕΙΑ!$B$2:$B$14)</f>
        <v>Μερική</v>
      </c>
      <c r="J84">
        <f t="shared" si="11"/>
        <v>83</v>
      </c>
      <c r="K84" s="206">
        <f t="shared" si="8"/>
        <v>143</v>
      </c>
      <c r="L84" t="str">
        <f t="shared" si="9"/>
        <v>ΗΠΕΙΡΟΥ</v>
      </c>
      <c r="M84" t="str">
        <f t="shared" si="10"/>
        <v>ΗΠΕΙΡΟΥ - ΠΡΕΒΕΖΑΣ</v>
      </c>
      <c r="N84" s="204">
        <f t="shared" si="12"/>
        <v>14420</v>
      </c>
      <c r="O84" s="204" t="str">
        <f t="shared" si="13"/>
        <v>Πρέβεζας</v>
      </c>
    </row>
    <row r="85" spans="1:15" x14ac:dyDescent="0.25">
      <c r="A85" s="206">
        <v>84</v>
      </c>
      <c r="B85" t="s">
        <v>40</v>
      </c>
      <c r="C85" t="s">
        <v>368</v>
      </c>
      <c r="D85" t="s">
        <v>86</v>
      </c>
      <c r="E85" t="str">
        <f t="shared" si="7"/>
        <v xml:space="preserve">ΑΤΤΙΚΗΣ - ΦΙΛΟΘΕΗΣ – ΨΥΧΙΚΟΥ, </v>
      </c>
      <c r="F85" s="232" t="s">
        <v>658</v>
      </c>
      <c r="G85" s="232">
        <v>14522</v>
      </c>
      <c r="H85" t="str">
        <f>IFERROR(INDEX(DimosNaiOxi,MATCH(ΤΚ!E85,DimosNai,0)),"")</f>
        <v>ΝΑΙ</v>
      </c>
      <c r="I85" t="str">
        <f>LOOKUP(B85,ΠΕΡΙΦΕΡΕΙΑ!$A$2:$A$14,ΠΕΡΙΦΕΡΕΙΑ!$B$2:$B$14)</f>
        <v>Μερική</v>
      </c>
      <c r="J85">
        <f t="shared" si="11"/>
        <v>84</v>
      </c>
      <c r="K85" s="206">
        <f t="shared" si="8"/>
        <v>151</v>
      </c>
      <c r="L85" t="str">
        <f t="shared" si="9"/>
        <v>ΘΕΣΣΑΛΙΑΣ</v>
      </c>
      <c r="M85" t="str">
        <f t="shared" si="10"/>
        <v>ΘΕΣΣΑΛΙΑΣ - ΒΟΛΟΥ</v>
      </c>
      <c r="N85" s="204">
        <f t="shared" si="12"/>
        <v>14022</v>
      </c>
      <c r="O85" s="204" t="str">
        <f t="shared" si="13"/>
        <v>Βόλου</v>
      </c>
    </row>
    <row r="86" spans="1:15" x14ac:dyDescent="0.25">
      <c r="A86" s="206">
        <v>85</v>
      </c>
      <c r="B86" t="s">
        <v>40</v>
      </c>
      <c r="C86" t="s">
        <v>369</v>
      </c>
      <c r="D86" t="s">
        <v>92</v>
      </c>
      <c r="E86" t="str">
        <f t="shared" si="7"/>
        <v xml:space="preserve">ΑΤΤΙΚΗΣ - ΦΥΛΗΣ, </v>
      </c>
      <c r="F86" s="232" t="s">
        <v>659</v>
      </c>
      <c r="G86" s="232">
        <v>14530</v>
      </c>
      <c r="H86" t="str">
        <f>IFERROR(INDEX(DimosNaiOxi,MATCH(ΤΚ!E86,DimosNai,0)),"")</f>
        <v/>
      </c>
      <c r="I86" t="str">
        <f>LOOKUP(B86,ΠΕΡΙΦΕΡΕΙΑ!$A$2:$A$14,ΠΕΡΙΦΕΡΕΙΑ!$B$2:$B$14)</f>
        <v>Μερική</v>
      </c>
      <c r="J86" t="str">
        <f t="shared" si="11"/>
        <v/>
      </c>
      <c r="K86" s="206">
        <f t="shared" si="8"/>
        <v>155</v>
      </c>
      <c r="L86" t="str">
        <f t="shared" si="9"/>
        <v>ΘΕΣΣΑΛΙΑΣ</v>
      </c>
      <c r="M86" t="str">
        <f t="shared" si="10"/>
        <v>ΘΕΣΣΑΛΙΑΣ - ΚΑΡΔΙΤΣΑΣ</v>
      </c>
      <c r="N86" s="204">
        <f t="shared" si="12"/>
        <v>14194</v>
      </c>
      <c r="O86" s="204" t="str">
        <f t="shared" si="13"/>
        <v>Καρδίτσας</v>
      </c>
    </row>
    <row r="87" spans="1:15" x14ac:dyDescent="0.25">
      <c r="A87" s="206">
        <v>86</v>
      </c>
      <c r="B87" t="s">
        <v>40</v>
      </c>
      <c r="C87" t="s">
        <v>370</v>
      </c>
      <c r="D87" t="s">
        <v>99</v>
      </c>
      <c r="E87" t="str">
        <f t="shared" si="7"/>
        <v xml:space="preserve">ΑΤΤΙΚΗΣ - ΧΑΪΔΑΡΙΟΥ, </v>
      </c>
      <c r="F87" s="232" t="s">
        <v>660</v>
      </c>
      <c r="G87" s="232">
        <v>14544</v>
      </c>
      <c r="H87" t="str">
        <f>IFERROR(INDEX(DimosNaiOxi,MATCH(ΤΚ!E87,DimosNai,0)),"")</f>
        <v>ΝΑΙ</v>
      </c>
      <c r="I87" t="str">
        <f>LOOKUP(B87,ΠΕΡΙΦΕΡΕΙΑ!$A$2:$A$14,ΠΕΡΙΦΕΡΕΙΑ!$B$2:$B$14)</f>
        <v>Μερική</v>
      </c>
      <c r="J87">
        <f t="shared" si="11"/>
        <v>86</v>
      </c>
      <c r="K87" s="206">
        <f t="shared" si="8"/>
        <v>157</v>
      </c>
      <c r="L87" t="str">
        <f t="shared" si="9"/>
        <v>ΘΕΣΣΑΛΙΑΣ</v>
      </c>
      <c r="M87" t="str">
        <f t="shared" si="10"/>
        <v>ΘΕΣΣΑΛΙΑΣ - ΛΑΡΙΣΑΙΩΝ</v>
      </c>
      <c r="N87" s="204">
        <f t="shared" si="12"/>
        <v>14250</v>
      </c>
      <c r="O87" s="204" t="str">
        <f t="shared" si="13"/>
        <v>Λαρισαίων</v>
      </c>
    </row>
    <row r="88" spans="1:15" x14ac:dyDescent="0.25">
      <c r="A88" s="206">
        <v>87</v>
      </c>
      <c r="B88" t="s">
        <v>40</v>
      </c>
      <c r="C88" t="s">
        <v>368</v>
      </c>
      <c r="D88" t="s">
        <v>87</v>
      </c>
      <c r="E88" t="str">
        <f t="shared" si="7"/>
        <v xml:space="preserve">ΑΤΤΙΚΗΣ - ΧΑΛΑΝΔΡΙΟΥ, </v>
      </c>
      <c r="F88" s="232" t="s">
        <v>661</v>
      </c>
      <c r="G88" s="232">
        <v>14536</v>
      </c>
      <c r="H88" t="str">
        <f>IFERROR(INDEX(DimosNaiOxi,MATCH(ΤΚ!E88,DimosNai,0)),"")</f>
        <v>ΝΑΙ</v>
      </c>
      <c r="I88" t="str">
        <f>LOOKUP(B88,ΠΕΡΙΦΕΡΕΙΑ!$A$2:$A$14,ΠΕΡΙΦΕΡΕΙΑ!$B$2:$B$14)</f>
        <v>Μερική</v>
      </c>
      <c r="J88">
        <f t="shared" si="11"/>
        <v>87</v>
      </c>
      <c r="K88" s="206">
        <f t="shared" si="8"/>
        <v>168</v>
      </c>
      <c r="L88" t="str">
        <f t="shared" si="9"/>
        <v>ΘΕΣΣΑΛΙΑΣ</v>
      </c>
      <c r="M88" t="str">
        <f t="shared" si="10"/>
        <v>ΘΕΣΣΑΛΙΑΣ - ΤΡΙΚΚΑΙΩΝ</v>
      </c>
      <c r="N88" s="204">
        <f t="shared" si="12"/>
        <v>14504</v>
      </c>
      <c r="O88" s="204" t="str">
        <f t="shared" si="13"/>
        <v>Τρικκαίων</v>
      </c>
    </row>
    <row r="89" spans="1:15" x14ac:dyDescent="0.25">
      <c r="A89" s="206">
        <v>88</v>
      </c>
      <c r="B89" t="s">
        <v>40</v>
      </c>
      <c r="C89" t="s">
        <v>367</v>
      </c>
      <c r="D89" t="s">
        <v>75</v>
      </c>
      <c r="E89" t="str">
        <f t="shared" si="7"/>
        <v xml:space="preserve">ΑΤΤΙΚΗΣ - ΩΡΩΠΟΥ, </v>
      </c>
      <c r="F89" s="232" t="s">
        <v>662</v>
      </c>
      <c r="G89" s="232">
        <v>14552</v>
      </c>
      <c r="H89" t="str">
        <f>IFERROR(INDEX(DimosNaiOxi,MATCH(ΤΚ!E89,DimosNai,0)),"")</f>
        <v/>
      </c>
      <c r="I89" t="str">
        <f>LOOKUP(B89,ΠΕΡΙΦΕΡΕΙΑ!$A$2:$A$14,ΠΕΡΙΦΕΡΕΙΑ!$B$2:$B$14)</f>
        <v>Μερική</v>
      </c>
      <c r="J89" t="str">
        <f t="shared" si="11"/>
        <v/>
      </c>
      <c r="K89" s="206">
        <f t="shared" si="8"/>
        <v>174</v>
      </c>
      <c r="L89" t="str">
        <f t="shared" si="9"/>
        <v>ΙΟΝΙΩΝ ΝΗΣΩΝ</v>
      </c>
      <c r="M89" t="str">
        <f t="shared" si="10"/>
        <v>ΙΟΝΙΩΝ ΝΗΣΩΝ - ΚΕΡΚΥΡΑΣ</v>
      </c>
      <c r="N89" s="204">
        <f t="shared" si="12"/>
        <v>14166</v>
      </c>
      <c r="O89" s="204" t="str">
        <f t="shared" si="13"/>
        <v>Κέρκυρας</v>
      </c>
    </row>
    <row r="90" spans="1:15" x14ac:dyDescent="0.25">
      <c r="A90" s="206">
        <v>89</v>
      </c>
      <c r="B90" t="s">
        <v>404</v>
      </c>
      <c r="C90" t="s">
        <v>133</v>
      </c>
      <c r="D90" t="s">
        <v>132</v>
      </c>
      <c r="E90" t="str">
        <f t="shared" si="7"/>
        <v xml:space="preserve">ΒΟΡΕΙΟΥ ΑΙΓΑΙΟΥ - ΑΓΙΟΥ ΕΥΣΤΡΑΤΙΟΥ, </v>
      </c>
      <c r="F90" s="232" t="s">
        <v>663</v>
      </c>
      <c r="G90" s="232">
        <v>13930</v>
      </c>
      <c r="H90" t="str">
        <f>IFERROR(INDEX(DimosNaiOxi,MATCH(ΤΚ!E90,DimosNai,0)),"")</f>
        <v/>
      </c>
      <c r="I90" t="str">
        <f>LOOKUP(B90,ΠΕΡΙΦΕΡΕΙΑ!$A$2:$A$14,ΠΕΡΙΦΕΡΕΙΑ!$B$2:$B$14)</f>
        <v>Καθόλου</v>
      </c>
      <c r="J90" t="str">
        <f t="shared" si="11"/>
        <v/>
      </c>
      <c r="K90" s="206">
        <f t="shared" si="8"/>
        <v>179</v>
      </c>
      <c r="L90" t="str">
        <f t="shared" si="9"/>
        <v>ΚΕΝΤΡΙΚΗΣ ΜΑΚΕΔΟΝΙΑΣ</v>
      </c>
      <c r="M90" t="str">
        <f t="shared" si="10"/>
        <v>ΚΕΝΤΡΙΚΗΣ ΜΑΚΕΔΟΝΙΑΣ - ΑΛΕΞΑΝΔΡΕΙΑΣ</v>
      </c>
      <c r="N90" s="204">
        <f t="shared" si="12"/>
        <v>13954</v>
      </c>
      <c r="O90" s="204" t="str">
        <f t="shared" si="13"/>
        <v>Αλεξάνδρειας</v>
      </c>
    </row>
    <row r="91" spans="1:15" x14ac:dyDescent="0.25">
      <c r="A91" s="206">
        <v>90</v>
      </c>
      <c r="B91" t="s">
        <v>404</v>
      </c>
      <c r="C91" t="s">
        <v>129</v>
      </c>
      <c r="D91" t="s">
        <v>129</v>
      </c>
      <c r="E91" t="str">
        <f t="shared" si="7"/>
        <v xml:space="preserve">ΒΟΡΕΙΟΥ ΑΙΓΑΙΟΥ - ΙΚΑΡΙΑΣ, </v>
      </c>
      <c r="F91" s="232" t="s">
        <v>664</v>
      </c>
      <c r="G91" s="232">
        <v>14152</v>
      </c>
      <c r="H91" t="str">
        <f>IFERROR(INDEX(DimosNaiOxi,MATCH(ΤΚ!E91,DimosNai,0)),"")</f>
        <v/>
      </c>
      <c r="I91" t="str">
        <f>LOOKUP(B91,ΠΕΡΙΦΕΡΕΙΑ!$A$2:$A$14,ΠΕΡΙΦΕΡΕΙΑ!$B$2:$B$14)</f>
        <v>Καθόλου</v>
      </c>
      <c r="J91" t="str">
        <f t="shared" si="11"/>
        <v/>
      </c>
      <c r="K91" s="206">
        <f t="shared" si="8"/>
        <v>180</v>
      </c>
      <c r="L91" t="str">
        <f t="shared" si="9"/>
        <v>ΚΕΝΤΡΙΚΗΣ ΜΑΚΕΔΟΝΙΑΣ</v>
      </c>
      <c r="M91" t="str">
        <f t="shared" si="10"/>
        <v>ΚΕΝΤΡΙΚΗΣ ΜΑΚΕΔΟΝΙΑΣ - ΑΛΜΩΠΙΑΣ</v>
      </c>
      <c r="N91" s="204">
        <f t="shared" si="12"/>
        <v>13962</v>
      </c>
      <c r="O91" s="204" t="str">
        <f t="shared" si="13"/>
        <v>Αλμωπίας</v>
      </c>
    </row>
    <row r="92" spans="1:15" x14ac:dyDescent="0.25">
      <c r="A92" s="206">
        <v>91</v>
      </c>
      <c r="B92" t="s">
        <v>404</v>
      </c>
      <c r="C92" t="s">
        <v>131</v>
      </c>
      <c r="D92" t="s">
        <v>131</v>
      </c>
      <c r="E92" t="str">
        <f t="shared" si="7"/>
        <v xml:space="preserve">ΒΟΡΕΙΟΥ ΑΙΓΑΙΟΥ - ΛΕΣΒΟΥ, </v>
      </c>
      <c r="F92" s="232" t="s">
        <v>665</v>
      </c>
      <c r="G92" s="232">
        <v>14240</v>
      </c>
      <c r="H92" t="str">
        <f>IFERROR(INDEX(DimosNaiOxi,MATCH(ΤΚ!E92,DimosNai,0)),"")</f>
        <v/>
      </c>
      <c r="I92" t="str">
        <f>LOOKUP(B92,ΠΕΡΙΦΕΡΕΙΑ!$A$2:$A$14,ΠΕΡΙΦΕΡΕΙΑ!$B$2:$B$14)</f>
        <v>Καθόλου</v>
      </c>
      <c r="J92" t="str">
        <f t="shared" si="11"/>
        <v/>
      </c>
      <c r="K92" s="206">
        <f t="shared" si="8"/>
        <v>181</v>
      </c>
      <c r="L92" t="str">
        <f t="shared" si="9"/>
        <v>ΚΕΝΤΡΙΚΗΣ ΜΑΚΕΔΟΝΙΑΣ</v>
      </c>
      <c r="M92" t="str">
        <f t="shared" si="10"/>
        <v>ΚΕΝΤΡΙΚΗΣ ΜΑΚΕΔΟΝΙΑΣ - ΑΜΠΕΛΟΚΗΠΩΝ – ΜΕΝΕΜΕΝΗΣ</v>
      </c>
      <c r="N92" s="204">
        <f t="shared" si="12"/>
        <v>13972</v>
      </c>
      <c r="O92" s="204" t="str">
        <f t="shared" si="13"/>
        <v>Αμπελοκήπων - Μενεμένης</v>
      </c>
    </row>
    <row r="93" spans="1:15" x14ac:dyDescent="0.25">
      <c r="A93" s="206">
        <v>92</v>
      </c>
      <c r="B93" t="s">
        <v>404</v>
      </c>
      <c r="C93" t="s">
        <v>133</v>
      </c>
      <c r="D93" t="s">
        <v>133</v>
      </c>
      <c r="E93" t="str">
        <f t="shared" si="7"/>
        <v xml:space="preserve">ΒΟΡΕΙΟΥ ΑΙΓΑΙΟΥ - ΛΗΜΝΟΥ, </v>
      </c>
      <c r="F93" s="232" t="s">
        <v>666</v>
      </c>
      <c r="G93" s="232">
        <v>14242</v>
      </c>
      <c r="H93" t="str">
        <f>IFERROR(INDEX(DimosNaiOxi,MATCH(ΤΚ!E93,DimosNai,0)),"")</f>
        <v/>
      </c>
      <c r="I93" t="str">
        <f>LOOKUP(B93,ΠΕΡΙΦΕΡΕΙΑ!$A$2:$A$14,ΠΕΡΙΦΕΡΕΙΑ!$B$2:$B$14)</f>
        <v>Καθόλου</v>
      </c>
      <c r="J93" t="str">
        <f t="shared" si="11"/>
        <v/>
      </c>
      <c r="K93" s="206">
        <f t="shared" si="8"/>
        <v>184</v>
      </c>
      <c r="L93" t="str">
        <f t="shared" si="9"/>
        <v>ΚΕΝΤΡΙΚΗΣ ΜΑΚΕΔΟΝΙΑΣ</v>
      </c>
      <c r="M93" t="str">
        <f t="shared" si="10"/>
        <v>ΚΕΝΤΡΙΚΗΣ ΜΑΚΕΔΟΝΙΑΣ - ΒΕΡΟΙΑΣ</v>
      </c>
      <c r="N93" s="204">
        <f t="shared" si="12"/>
        <v>14018</v>
      </c>
      <c r="O93" s="204" t="str">
        <f t="shared" si="13"/>
        <v>Βέροιας</v>
      </c>
    </row>
    <row r="94" spans="1:15" x14ac:dyDescent="0.25">
      <c r="A94" s="206">
        <v>93</v>
      </c>
      <c r="B94" t="s">
        <v>404</v>
      </c>
      <c r="C94" t="s">
        <v>136</v>
      </c>
      <c r="D94" t="s">
        <v>135</v>
      </c>
      <c r="E94" t="str">
        <f t="shared" si="7"/>
        <v xml:space="preserve">ΒΟΡΕΙΟΥ ΑΙΓΑΙΟΥ - ΟΙΝΟΥΣΣΩΝ, </v>
      </c>
      <c r="F94" s="232" t="s">
        <v>667</v>
      </c>
      <c r="G94" s="232">
        <v>14352</v>
      </c>
      <c r="H94" t="str">
        <f>IFERROR(INDEX(DimosNaiOxi,MATCH(ΤΚ!E94,DimosNai,0)),"")</f>
        <v/>
      </c>
      <c r="I94" t="str">
        <f>LOOKUP(B94,ΠΕΡΙΦΕΡΕΙΑ!$A$2:$A$14,ΠΕΡΙΦΕΡΕΙΑ!$B$2:$B$14)</f>
        <v>Καθόλου</v>
      </c>
      <c r="J94" t="str">
        <f t="shared" si="11"/>
        <v/>
      </c>
      <c r="K94" s="206">
        <f t="shared" si="8"/>
        <v>187</v>
      </c>
      <c r="L94" t="str">
        <f t="shared" si="9"/>
        <v>ΚΕΝΤΡΙΚΗΣ ΜΑΚΕΔΟΝΙΑΣ</v>
      </c>
      <c r="M94" t="str">
        <f t="shared" si="10"/>
        <v>ΚΕΝΤΡΙΚΗΣ ΜΑΚΕΔΟΝΙΑΣ - ΔΕΛΤΑ</v>
      </c>
      <c r="N94" s="204">
        <f t="shared" si="12"/>
        <v>14054</v>
      </c>
      <c r="O94" s="204" t="str">
        <f t="shared" si="13"/>
        <v>Δέλτα</v>
      </c>
    </row>
    <row r="95" spans="1:15" x14ac:dyDescent="0.25">
      <c r="A95" s="206">
        <v>94</v>
      </c>
      <c r="B95" t="s">
        <v>404</v>
      </c>
      <c r="C95" t="s">
        <v>134</v>
      </c>
      <c r="D95" t="s">
        <v>134</v>
      </c>
      <c r="E95" t="str">
        <f t="shared" si="7"/>
        <v xml:space="preserve">ΒΟΡΕΙΟΥ ΑΙΓΑΙΟΥ - ΣΑΜΟΥ, </v>
      </c>
      <c r="F95" s="232" t="s">
        <v>668</v>
      </c>
      <c r="G95" s="232">
        <v>14438</v>
      </c>
      <c r="H95" t="str">
        <f>IFERROR(INDEX(DimosNaiOxi,MATCH(ΤΚ!E95,DimosNai,0)),"")</f>
        <v/>
      </c>
      <c r="I95" t="str">
        <f>LOOKUP(B95,ΠΕΡΙΦΕΡΕΙΑ!$A$2:$A$14,ΠΕΡΙΦΕΡΕΙΑ!$B$2:$B$14)</f>
        <v>Καθόλου</v>
      </c>
      <c r="J95" t="str">
        <f t="shared" si="11"/>
        <v/>
      </c>
      <c r="K95" s="206">
        <f t="shared" si="8"/>
        <v>189</v>
      </c>
      <c r="L95" t="str">
        <f t="shared" si="9"/>
        <v>ΚΕΝΤΡΙΚΗΣ ΜΑΚΕΔΟΝΙΑΣ</v>
      </c>
      <c r="M95" t="str">
        <f t="shared" si="10"/>
        <v>ΚΕΝΤΡΙΚΗΣ ΜΑΚΕΔΟΝΙΑΣ - ΕΔΕΣΣΑΣ</v>
      </c>
      <c r="N95" s="204">
        <f t="shared" si="12"/>
        <v>13912</v>
      </c>
      <c r="O95" s="204" t="str">
        <f t="shared" si="13"/>
        <v>Έδεσσας</v>
      </c>
    </row>
    <row r="96" spans="1:15" x14ac:dyDescent="0.25">
      <c r="A96" s="206">
        <v>95</v>
      </c>
      <c r="B96" t="s">
        <v>404</v>
      </c>
      <c r="C96" t="s">
        <v>129</v>
      </c>
      <c r="D96" t="s">
        <v>130</v>
      </c>
      <c r="E96" t="str">
        <f t="shared" si="7"/>
        <v xml:space="preserve">ΒΟΡΕΙΟΥ ΑΙΓΑΙΟΥ - ΦΟΥΡΝΩΝ ΚΟΡΣΕΩΝ, </v>
      </c>
      <c r="F96" s="232" t="s">
        <v>669</v>
      </c>
      <c r="G96" s="232">
        <v>14526</v>
      </c>
      <c r="H96" t="str">
        <f>IFERROR(INDEX(DimosNaiOxi,MATCH(ΤΚ!E96,DimosNai,0)),"")</f>
        <v/>
      </c>
      <c r="I96" t="str">
        <f>LOOKUP(B96,ΠΕΡΙΦΕΡΕΙΑ!$A$2:$A$14,ΠΕΡΙΦΕΡΕΙΑ!$B$2:$B$14)</f>
        <v>Καθόλου</v>
      </c>
      <c r="J96" t="str">
        <f t="shared" si="11"/>
        <v/>
      </c>
      <c r="K96" s="206">
        <f t="shared" si="8"/>
        <v>192</v>
      </c>
      <c r="L96" t="str">
        <f t="shared" si="9"/>
        <v>ΚΕΝΤΡΙΚΗΣ ΜΑΚΕΔΟΝΙΑΣ</v>
      </c>
      <c r="M96" t="str">
        <f t="shared" si="10"/>
        <v>ΚΕΝΤΡΙΚΗΣ ΜΑΚΕΔΟΝΙΑΣ - ΘΕΡΜΑΪΚΟΥ</v>
      </c>
      <c r="N96" s="204">
        <f t="shared" si="12"/>
        <v>14136</v>
      </c>
      <c r="O96" s="204" t="str">
        <f t="shared" si="13"/>
        <v>Θερμαϊκού</v>
      </c>
    </row>
    <row r="97" spans="1:15" x14ac:dyDescent="0.25">
      <c r="A97" s="206">
        <v>96</v>
      </c>
      <c r="B97" t="s">
        <v>404</v>
      </c>
      <c r="C97" t="s">
        <v>136</v>
      </c>
      <c r="D97" t="s">
        <v>136</v>
      </c>
      <c r="E97" t="str">
        <f t="shared" si="7"/>
        <v xml:space="preserve">ΒΟΡΕΙΟΥ ΑΙΓΑΙΟΥ - ΧΙΟΥ, </v>
      </c>
      <c r="F97" s="232" t="s">
        <v>670</v>
      </c>
      <c r="G97" s="232">
        <v>14534</v>
      </c>
      <c r="H97" t="str">
        <f>IFERROR(INDEX(DimosNaiOxi,MATCH(ΤΚ!E97,DimosNai,0)),"")</f>
        <v/>
      </c>
      <c r="I97" t="str">
        <f>LOOKUP(B97,ΠΕΡΙΦΕΡΕΙΑ!$A$2:$A$14,ΠΕΡΙΦΕΡΕΙΑ!$B$2:$B$14)</f>
        <v>Καθόλου</v>
      </c>
      <c r="J97" t="str">
        <f t="shared" si="11"/>
        <v/>
      </c>
      <c r="K97" s="206">
        <f t="shared" si="8"/>
        <v>193</v>
      </c>
      <c r="L97" t="str">
        <f t="shared" si="9"/>
        <v>ΚΕΝΤΡΙΚΗΣ ΜΑΚΕΔΟΝΙΑΣ</v>
      </c>
      <c r="M97" t="str">
        <f t="shared" si="10"/>
        <v>ΚΕΝΤΡΙΚΗΣ ΜΑΚΕΔΟΝΙΑΣ - ΘΕΡΜΗΣ</v>
      </c>
      <c r="N97" s="204">
        <f t="shared" si="12"/>
        <v>14130</v>
      </c>
      <c r="O97" s="204" t="str">
        <f t="shared" si="13"/>
        <v>Θέρμης</v>
      </c>
    </row>
    <row r="98" spans="1:15" x14ac:dyDescent="0.25">
      <c r="A98" s="206">
        <v>97</v>
      </c>
      <c r="B98" t="s">
        <v>404</v>
      </c>
      <c r="C98" t="s">
        <v>136</v>
      </c>
      <c r="D98" t="s">
        <v>137</v>
      </c>
      <c r="E98" t="str">
        <f t="shared" si="7"/>
        <v xml:space="preserve">ΒΟΡΕΙΟΥ ΑΙΓΑΙΟΥ - ΨΑΡΩΝ, </v>
      </c>
      <c r="F98" s="232" t="s">
        <v>671</v>
      </c>
      <c r="G98" s="232">
        <v>14548</v>
      </c>
      <c r="H98" t="str">
        <f>IFERROR(INDEX(DimosNaiOxi,MATCH(ΤΚ!E98,DimosNai,0)),"")</f>
        <v/>
      </c>
      <c r="I98" t="str">
        <f>LOOKUP(B98,ΠΕΡΙΦΕΡΕΙΑ!$A$2:$A$14,ΠΕΡΙΦΕΡΕΙΑ!$B$2:$B$14)</f>
        <v>Καθόλου</v>
      </c>
      <c r="J98" t="str">
        <f t="shared" si="11"/>
        <v/>
      </c>
      <c r="K98" s="206">
        <f t="shared" si="8"/>
        <v>194</v>
      </c>
      <c r="L98" t="str">
        <f t="shared" si="9"/>
        <v>ΚΕΝΤΡΙΚΗΣ ΜΑΚΕΔΟΝΙΑΣ</v>
      </c>
      <c r="M98" t="str">
        <f t="shared" si="10"/>
        <v>ΚΕΝΤΡΙΚΗΣ ΜΑΚΕΔΟΝΙΑΣ - ΘΕΣΣΑΛΟΝΙΚΗΣ</v>
      </c>
      <c r="N98" s="204">
        <f t="shared" si="12"/>
        <v>14138</v>
      </c>
      <c r="O98" s="204" t="str">
        <f t="shared" si="13"/>
        <v>Θεσσαλονίκης</v>
      </c>
    </row>
    <row r="99" spans="1:15" x14ac:dyDescent="0.25">
      <c r="A99" s="206">
        <v>98</v>
      </c>
      <c r="B99" t="s">
        <v>405</v>
      </c>
      <c r="C99" t="s">
        <v>374</v>
      </c>
      <c r="D99" t="s">
        <v>138</v>
      </c>
      <c r="E99" t="str">
        <f t="shared" si="7"/>
        <v xml:space="preserve">ΔΥΤΙΚΗΣ ΕΛΛΑΔΑΣ - ΑΓΡΙΝΙΟΥ, </v>
      </c>
      <c r="F99" s="232" t="s">
        <v>672</v>
      </c>
      <c r="G99" s="232">
        <v>13944</v>
      </c>
      <c r="H99" t="str">
        <f>IFERROR(INDEX(DimosNaiOxi,MATCH(ΤΚ!E99,DimosNai,0)),"")</f>
        <v>ΝΑΙ</v>
      </c>
      <c r="I99" t="str">
        <f>LOOKUP(B99,ΠΕΡΙΦΕΡΕΙΑ!$A$2:$A$14,ΠΕΡΙΦΕΡΕΙΑ!$B$2:$B$14)</f>
        <v>Μερική</v>
      </c>
      <c r="J99">
        <f t="shared" si="11"/>
        <v>98</v>
      </c>
      <c r="K99" s="206">
        <f t="shared" si="8"/>
        <v>195</v>
      </c>
      <c r="L99" t="str">
        <f t="shared" si="9"/>
        <v>ΚΕΝΤΡΙΚΗΣ ΜΑΚΕΔΟΝΙΑΣ</v>
      </c>
      <c r="M99" t="str">
        <f t="shared" si="10"/>
        <v>ΚΕΝΤΡΙΚΗΣ ΜΑΚΕΔΟΝΙΑΣ - ΚΑΛΑΜΑΡΙΑΣ</v>
      </c>
      <c r="N99" s="204">
        <f t="shared" si="12"/>
        <v>14182</v>
      </c>
      <c r="O99" s="204" t="str">
        <f t="shared" si="13"/>
        <v>Καλαμαριάς</v>
      </c>
    </row>
    <row r="100" spans="1:15" x14ac:dyDescent="0.25">
      <c r="A100" s="206">
        <v>99</v>
      </c>
      <c r="B100" t="s">
        <v>405</v>
      </c>
      <c r="C100" t="s">
        <v>375</v>
      </c>
      <c r="D100" t="s">
        <v>145</v>
      </c>
      <c r="E100" t="str">
        <f t="shared" si="7"/>
        <v xml:space="preserve">ΔΥΤΙΚΗΣ ΕΛΛΑΔΑΣ - ΑΙΓΙΑΛΕΙΑΣ, </v>
      </c>
      <c r="F100" s="232" t="s">
        <v>673</v>
      </c>
      <c r="G100" s="232">
        <v>13950</v>
      </c>
      <c r="H100" t="str">
        <f>IFERROR(INDEX(DimosNaiOxi,MATCH(ΤΚ!E100,DimosNai,0)),"")</f>
        <v>ΝΑΙ</v>
      </c>
      <c r="I100" t="str">
        <f>LOOKUP(B100,ΠΕΡΙΦΕΡΕΙΑ!$A$2:$A$14,ΠΕΡΙΦΕΡΕΙΑ!$B$2:$B$14)</f>
        <v>Μερική</v>
      </c>
      <c r="J100">
        <f t="shared" si="11"/>
        <v>99</v>
      </c>
      <c r="K100" s="206">
        <f t="shared" si="8"/>
        <v>197</v>
      </c>
      <c r="L100" t="str">
        <f t="shared" si="9"/>
        <v>ΚΕΝΤΡΙΚΗΣ ΜΑΚΕΔΟΝΙΑΣ</v>
      </c>
      <c r="M100" t="str">
        <f t="shared" si="10"/>
        <v>ΚΕΝΤΡΙΚΗΣ ΜΑΚΕΔΟΝΙΑΣ - ΚΑΤΕΡΙΝΗΣ</v>
      </c>
      <c r="N100" s="204">
        <f t="shared" si="12"/>
        <v>14204</v>
      </c>
      <c r="O100" s="204" t="str">
        <f t="shared" si="13"/>
        <v>Κατερίνης</v>
      </c>
    </row>
    <row r="101" spans="1:15" x14ac:dyDescent="0.25">
      <c r="A101" s="206">
        <v>100</v>
      </c>
      <c r="B101" t="s">
        <v>405</v>
      </c>
      <c r="C101" t="s">
        <v>374</v>
      </c>
      <c r="D101" t="s">
        <v>139</v>
      </c>
      <c r="E101" t="str">
        <f t="shared" si="7"/>
        <v xml:space="preserve">ΔΥΤΙΚΗΣ ΕΛΛΑΔΑΣ - ΑΚΤΙΟΥ – ΒΟΝΙΤΣΑΣ, </v>
      </c>
      <c r="F101" s="232" t="s">
        <v>674</v>
      </c>
      <c r="G101" s="232">
        <v>13906</v>
      </c>
      <c r="H101" t="str">
        <f>IFERROR(INDEX(DimosNaiOxi,MATCH(ΤΚ!E101,DimosNai,0)),"")</f>
        <v/>
      </c>
      <c r="I101" t="str">
        <f>LOOKUP(B101,ΠΕΡΙΦΕΡΕΙΑ!$A$2:$A$14,ΠΕΡΙΦΕΡΕΙΑ!$B$2:$B$14)</f>
        <v>Μερική</v>
      </c>
      <c r="J101" t="str">
        <f t="shared" si="11"/>
        <v/>
      </c>
      <c r="K101" s="206">
        <f t="shared" si="8"/>
        <v>198</v>
      </c>
      <c r="L101" t="str">
        <f t="shared" si="9"/>
        <v>ΚΕΝΤΡΙΚΗΣ ΜΑΚΕΔΟΝΙΑΣ</v>
      </c>
      <c r="M101" t="str">
        <f t="shared" si="10"/>
        <v>ΚΕΝΤΡΙΚΗΣ ΜΑΚΕΔΟΝΙΑΣ - ΚΙΛΚΙΣ</v>
      </c>
      <c r="N101" s="204">
        <f t="shared" si="12"/>
        <v>14216</v>
      </c>
      <c r="O101" s="204" t="str">
        <f t="shared" si="13"/>
        <v>Κιλκίς</v>
      </c>
    </row>
    <row r="102" spans="1:15" x14ac:dyDescent="0.25">
      <c r="A102" s="206">
        <v>101</v>
      </c>
      <c r="B102" t="s">
        <v>405</v>
      </c>
      <c r="C102" t="s">
        <v>374</v>
      </c>
      <c r="D102" t="s">
        <v>140</v>
      </c>
      <c r="E102" t="str">
        <f t="shared" si="7"/>
        <v xml:space="preserve">ΔΥΤΙΚΗΣ ΕΛΛΑΔΑΣ - ΑΜΦΙΛΟΧΙΑΣ, </v>
      </c>
      <c r="F102" s="232" t="s">
        <v>675</v>
      </c>
      <c r="G102" s="232">
        <v>13980</v>
      </c>
      <c r="H102" t="str">
        <f>IFERROR(INDEX(DimosNaiOxi,MATCH(ΤΚ!E102,DimosNai,0)),"")</f>
        <v/>
      </c>
      <c r="I102" t="str">
        <f>LOOKUP(B102,ΠΕΡΙΦΕΡΕΙΑ!$A$2:$A$14,ΠΕΡΙΦΕΡΕΙΑ!$B$2:$B$14)</f>
        <v>Μερική</v>
      </c>
      <c r="J102" t="str">
        <f t="shared" si="11"/>
        <v/>
      </c>
      <c r="K102" s="206">
        <f t="shared" si="8"/>
        <v>199</v>
      </c>
      <c r="L102" t="str">
        <f t="shared" si="9"/>
        <v>ΚΕΝΤΡΙΚΗΣ ΜΑΚΕΔΟΝΙΑΣ</v>
      </c>
      <c r="M102" t="str">
        <f t="shared" si="10"/>
        <v>ΚΕΝΤΡΙΚΗΣ ΜΑΚΕΔΟΝΙΑΣ - ΚΟΡΔΕΛΙΟΥ – ΕΥΟΣΜΟΥ</v>
      </c>
      <c r="N102" s="204">
        <f t="shared" si="12"/>
        <v>14226</v>
      </c>
      <c r="O102" s="204" t="str">
        <f t="shared" si="13"/>
        <v>Κορδελιού - Ευόσμου</v>
      </c>
    </row>
    <row r="103" spans="1:15" x14ac:dyDescent="0.25">
      <c r="A103" s="206">
        <v>102</v>
      </c>
      <c r="B103" t="s">
        <v>405</v>
      </c>
      <c r="C103" t="s">
        <v>376</v>
      </c>
      <c r="D103" t="s">
        <v>150</v>
      </c>
      <c r="E103" t="str">
        <f t="shared" si="7"/>
        <v xml:space="preserve">ΔΥΤΙΚΗΣ ΕΛΛΑΔΑΣ - ΑΝΔΡΑΒΙΔΑΣ – ΚΥΛΛΗΝΗΣ, </v>
      </c>
      <c r="F103" s="232" t="s">
        <v>676</v>
      </c>
      <c r="G103" s="232">
        <v>13988</v>
      </c>
      <c r="H103" t="str">
        <f>IFERROR(INDEX(DimosNaiOxi,MATCH(ΤΚ!E103,DimosNai,0)),"")</f>
        <v/>
      </c>
      <c r="I103" t="str">
        <f>LOOKUP(B103,ΠΕΡΙΦΕΡΕΙΑ!$A$2:$A$14,ΠΕΡΙΦΕΡΕΙΑ!$B$2:$B$14)</f>
        <v>Μερική</v>
      </c>
      <c r="J103" t="str">
        <f t="shared" si="11"/>
        <v/>
      </c>
      <c r="K103" s="206">
        <f t="shared" si="8"/>
        <v>201</v>
      </c>
      <c r="L103" t="str">
        <f t="shared" si="9"/>
        <v>ΚΕΝΤΡΙΚΗΣ ΜΑΚΕΔΟΝΙΑΣ</v>
      </c>
      <c r="M103" t="str">
        <f t="shared" si="10"/>
        <v>ΚΕΝΤΡΙΚΗΣ ΜΑΚΕΔΟΝΙΑΣ - ΝΑΟΥΣΑΣ</v>
      </c>
      <c r="N103" s="204">
        <f t="shared" si="12"/>
        <v>14314</v>
      </c>
      <c r="O103" s="204" t="str">
        <f t="shared" si="13"/>
        <v>Νάουσας</v>
      </c>
    </row>
    <row r="104" spans="1:15" x14ac:dyDescent="0.25">
      <c r="A104" s="206">
        <v>103</v>
      </c>
      <c r="B104" t="s">
        <v>405</v>
      </c>
      <c r="C104" t="s">
        <v>376</v>
      </c>
      <c r="D104" t="s">
        <v>151</v>
      </c>
      <c r="E104" t="str">
        <f t="shared" si="7"/>
        <v xml:space="preserve">ΔΥΤΙΚΗΣ ΕΛΛΑΔΑΣ - ΑΝΔΡΙΤΣΑΙΝΑΣ – ΚΡΕΣΤΕΝΩΝ, </v>
      </c>
      <c r="F104" s="232" t="s">
        <v>677</v>
      </c>
      <c r="G104" s="232">
        <v>13986</v>
      </c>
      <c r="H104" t="str">
        <f>IFERROR(INDEX(DimosNaiOxi,MATCH(ΤΚ!E104,DimosNai,0)),"")</f>
        <v/>
      </c>
      <c r="I104" t="str">
        <f>LOOKUP(B104,ΠΕΡΙΦΕΡΕΙΑ!$A$2:$A$14,ΠΕΡΙΦΕΡΕΙΑ!$B$2:$B$14)</f>
        <v>Μερική</v>
      </c>
      <c r="J104" t="str">
        <f t="shared" si="11"/>
        <v/>
      </c>
      <c r="K104" s="206">
        <f t="shared" si="8"/>
        <v>202</v>
      </c>
      <c r="L104" t="str">
        <f t="shared" si="9"/>
        <v>ΚΕΝΤΡΙΚΗΣ ΜΑΚΕΔΟΝΙΑΣ</v>
      </c>
      <c r="M104" t="str">
        <f t="shared" si="10"/>
        <v>ΚΕΝΤΡΙΚΗΣ ΜΑΚΕΔΟΝΙΑΣ - ΝΕΑΠΟΛΗΣ – ΣΥΚΕΩΝ</v>
      </c>
      <c r="N104" s="204">
        <f t="shared" si="12"/>
        <v>14316</v>
      </c>
      <c r="O104" s="204" t="str">
        <f t="shared" si="13"/>
        <v>Νέαπολης - Συκεών</v>
      </c>
    </row>
    <row r="105" spans="1:15" x14ac:dyDescent="0.25">
      <c r="A105" s="206">
        <v>104</v>
      </c>
      <c r="B105" t="s">
        <v>405</v>
      </c>
      <c r="C105" t="s">
        <v>376</v>
      </c>
      <c r="D105" t="s">
        <v>152</v>
      </c>
      <c r="E105" t="str">
        <f t="shared" si="7"/>
        <v xml:space="preserve">ΔΥΤΙΚΗΣ ΕΛΛΑΔΑΣ - ΑΡΧΑΙΑΣ ΟΛΥΜΠΙΑΣ, </v>
      </c>
      <c r="F105" s="232" t="s">
        <v>678</v>
      </c>
      <c r="G105" s="232">
        <v>14004</v>
      </c>
      <c r="H105" t="str">
        <f>IFERROR(INDEX(DimosNaiOxi,MATCH(ΤΚ!E105,DimosNai,0)),"")</f>
        <v/>
      </c>
      <c r="I105" t="str">
        <f>LOOKUP(B105,ΠΕΡΙΦΕΡΕΙΑ!$A$2:$A$14,ΠΕΡΙΦΕΡΕΙΑ!$B$2:$B$14)</f>
        <v>Μερική</v>
      </c>
      <c r="J105" t="str">
        <f t="shared" si="11"/>
        <v/>
      </c>
      <c r="K105" s="206">
        <f t="shared" si="8"/>
        <v>206</v>
      </c>
      <c r="L105" t="str">
        <f t="shared" si="9"/>
        <v>ΚΕΝΤΡΙΚΗΣ ΜΑΚΕΔΟΝΙΑΣ</v>
      </c>
      <c r="M105" t="str">
        <f t="shared" si="10"/>
        <v>ΚΕΝΤΡΙΚΗΣ ΜΑΚΕΔΟΝΙΑΣ - ΠΑΥΛΟΥ ΜΕΛΑ</v>
      </c>
      <c r="N105" s="204">
        <f t="shared" si="12"/>
        <v>14382</v>
      </c>
      <c r="O105" s="204" t="str">
        <f t="shared" si="13"/>
        <v>Παύλου Μελά</v>
      </c>
    </row>
    <row r="106" spans="1:15" x14ac:dyDescent="0.25">
      <c r="A106" s="206">
        <v>105</v>
      </c>
      <c r="B106" t="s">
        <v>405</v>
      </c>
      <c r="C106" t="s">
        <v>375</v>
      </c>
      <c r="D106" t="s">
        <v>146</v>
      </c>
      <c r="E106" t="str">
        <f t="shared" si="7"/>
        <v xml:space="preserve">ΔΥΤΙΚΗΣ ΕΛΛΑΔΑΣ - ΔΥΤΙΚΗΣ ΑΧΑΪΑΣ, </v>
      </c>
      <c r="F106" s="232" t="s">
        <v>679</v>
      </c>
      <c r="G106" s="232">
        <v>14076</v>
      </c>
      <c r="H106" t="str">
        <f>IFERROR(INDEX(DimosNaiOxi,MATCH(ΤΚ!E106,DimosNai,0)),"")</f>
        <v/>
      </c>
      <c r="I106" t="str">
        <f>LOOKUP(B106,ΠΕΡΙΦΕΡΕΙΑ!$A$2:$A$14,ΠΕΡΙΦΕΡΕΙΑ!$B$2:$B$14)</f>
        <v>Μερική</v>
      </c>
      <c r="J106" t="str">
        <f t="shared" si="11"/>
        <v/>
      </c>
      <c r="K106" s="206">
        <f t="shared" si="8"/>
        <v>207</v>
      </c>
      <c r="L106" t="str">
        <f t="shared" si="9"/>
        <v>ΚΕΝΤΡΙΚΗΣ ΜΑΚΕΔΟΝΙΑΣ</v>
      </c>
      <c r="M106" t="str">
        <f t="shared" si="10"/>
        <v>ΚΕΝΤΡΙΚΗΣ ΜΑΚΕΔΟΝΙΑΣ - ΠΕΛΛΑΣ</v>
      </c>
      <c r="N106" s="204">
        <f t="shared" si="12"/>
        <v>14370</v>
      </c>
      <c r="O106" s="204" t="str">
        <f t="shared" si="13"/>
        <v>Πέλλας</v>
      </c>
    </row>
    <row r="107" spans="1:15" x14ac:dyDescent="0.25">
      <c r="A107" s="206">
        <v>106</v>
      </c>
      <c r="B107" t="s">
        <v>405</v>
      </c>
      <c r="C107" t="s">
        <v>375</v>
      </c>
      <c r="D107" t="s">
        <v>147</v>
      </c>
      <c r="E107" t="str">
        <f t="shared" si="7"/>
        <v xml:space="preserve">ΔΥΤΙΚΗΣ ΕΛΛΑΔΑΣ - ΕΡΥΜΑΝΘΟΥ, </v>
      </c>
      <c r="F107" s="232" t="s">
        <v>680</v>
      </c>
      <c r="G107" s="232">
        <v>14102</v>
      </c>
      <c r="H107" t="str">
        <f>IFERROR(INDEX(DimosNaiOxi,MATCH(ΤΚ!E107,DimosNai,0)),"")</f>
        <v/>
      </c>
      <c r="I107" t="str">
        <f>LOOKUP(B107,ΠΕΡΙΦΕΡΕΙΑ!$A$2:$A$14,ΠΕΡΙΦΕΡΕΙΑ!$B$2:$B$14)</f>
        <v>Μερική</v>
      </c>
      <c r="J107" t="str">
        <f t="shared" si="11"/>
        <v/>
      </c>
      <c r="K107" s="206">
        <f t="shared" si="8"/>
        <v>210</v>
      </c>
      <c r="L107" t="str">
        <f t="shared" si="9"/>
        <v>ΚΕΝΤΡΙΚΗΣ ΜΑΚΕΔΟΝΙΑΣ</v>
      </c>
      <c r="M107" t="str">
        <f t="shared" si="10"/>
        <v>ΚΕΝΤΡΙΚΗΣ ΜΑΚΕΔΟΝΙΑΣ - ΠΥΛΑΙΑΣ – ΧΟΡΤΙΑΤΗ</v>
      </c>
      <c r="N107" s="204">
        <f t="shared" si="12"/>
        <v>14426</v>
      </c>
      <c r="O107" s="204" t="str">
        <f t="shared" si="13"/>
        <v>Πυλαίας - Χορτιάτη</v>
      </c>
    </row>
    <row r="108" spans="1:15" x14ac:dyDescent="0.25">
      <c r="A108" s="206">
        <v>107</v>
      </c>
      <c r="B108" t="s">
        <v>405</v>
      </c>
      <c r="C108" t="s">
        <v>376</v>
      </c>
      <c r="D108" t="s">
        <v>153</v>
      </c>
      <c r="E108" t="str">
        <f t="shared" si="7"/>
        <v xml:space="preserve">ΔΥΤΙΚΗΣ ΕΛΛΑΔΑΣ - ΖΑΧΑΡΩΣ, </v>
      </c>
      <c r="F108" s="232" t="s">
        <v>681</v>
      </c>
      <c r="G108" s="232">
        <v>14114</v>
      </c>
      <c r="H108" t="str">
        <f>IFERROR(INDEX(DimosNaiOxi,MATCH(ΤΚ!E108,DimosNai,0)),"")</f>
        <v/>
      </c>
      <c r="I108" t="str">
        <f>LOOKUP(B108,ΠΕΡΙΦΕΡΕΙΑ!$A$2:$A$14,ΠΕΡΙΦΕΡΕΙΑ!$B$2:$B$14)</f>
        <v>Μερική</v>
      </c>
      <c r="J108" t="str">
        <f t="shared" si="11"/>
        <v/>
      </c>
      <c r="K108" s="206">
        <f t="shared" si="8"/>
        <v>211</v>
      </c>
      <c r="L108" t="str">
        <f t="shared" si="9"/>
        <v>ΚΕΝΤΡΙΚΗΣ ΜΑΚΕΔΟΝΙΑΣ</v>
      </c>
      <c r="M108" t="str">
        <f t="shared" si="10"/>
        <v>ΚΕΝΤΡΙΚΗΣ ΜΑΚΕΔΟΝΙΑΣ - ΣΕΡΡΩΝ</v>
      </c>
      <c r="N108" s="204">
        <f t="shared" si="12"/>
        <v>14456</v>
      </c>
      <c r="O108" s="204" t="str">
        <f t="shared" si="13"/>
        <v>Σερρών</v>
      </c>
    </row>
    <row r="109" spans="1:15" x14ac:dyDescent="0.25">
      <c r="A109" s="206">
        <v>108</v>
      </c>
      <c r="B109" t="s">
        <v>405</v>
      </c>
      <c r="C109" t="s">
        <v>376</v>
      </c>
      <c r="D109" t="s">
        <v>154</v>
      </c>
      <c r="E109" t="str">
        <f t="shared" si="7"/>
        <v xml:space="preserve">ΔΥΤΙΚΗΣ ΕΛΛΑΔΑΣ - ΗΛΙΔΑΣ, </v>
      </c>
      <c r="F109" s="232" t="s">
        <v>682</v>
      </c>
      <c r="G109" s="232">
        <v>13914</v>
      </c>
      <c r="H109" t="str">
        <f>IFERROR(INDEX(DimosNaiOxi,MATCH(ΤΚ!E109,DimosNai,0)),"")</f>
        <v/>
      </c>
      <c r="I109" t="str">
        <f>LOOKUP(B109,ΠΕΡΙΦΕΡΕΙΑ!$A$2:$A$14,ΠΕΡΙΦΕΡΕΙΑ!$B$2:$B$14)</f>
        <v>Μερική</v>
      </c>
      <c r="J109" t="str">
        <f t="shared" si="11"/>
        <v/>
      </c>
      <c r="K109" s="206">
        <f t="shared" si="8"/>
        <v>214</v>
      </c>
      <c r="L109" t="str">
        <f t="shared" si="9"/>
        <v>ΚΕΝΤΡΙΚΗΣ ΜΑΚΕΔΟΝΙΑΣ</v>
      </c>
      <c r="M109" t="str">
        <f t="shared" si="10"/>
        <v>ΚΕΝΤΡΙΚΗΣ ΜΑΚΕΔΟΝΙΑΣ - ΣΚΥΔΡΑΣ</v>
      </c>
      <c r="N109" s="204">
        <f t="shared" si="12"/>
        <v>14468</v>
      </c>
      <c r="O109" s="204" t="str">
        <f t="shared" si="13"/>
        <v>Σκύδρας</v>
      </c>
    </row>
    <row r="110" spans="1:15" x14ac:dyDescent="0.25">
      <c r="A110" s="206">
        <v>109</v>
      </c>
      <c r="B110" t="s">
        <v>405</v>
      </c>
      <c r="C110" t="s">
        <v>374</v>
      </c>
      <c r="D110" t="s">
        <v>141</v>
      </c>
      <c r="E110" t="str">
        <f t="shared" si="7"/>
        <v xml:space="preserve">ΔΥΤΙΚΗΣ ΕΛΛΑΔΑΣ - ΘΕΡΜΟΥ, </v>
      </c>
      <c r="F110" s="232" t="s">
        <v>683</v>
      </c>
      <c r="G110" s="232">
        <v>14132</v>
      </c>
      <c r="H110" t="str">
        <f>IFERROR(INDEX(DimosNaiOxi,MATCH(ΤΚ!E110,DimosNai,0)),"")</f>
        <v/>
      </c>
      <c r="I110" t="str">
        <f>LOOKUP(B110,ΠΕΡΙΦΕΡΕΙΑ!$A$2:$A$14,ΠΕΡΙΦΕΡΕΙΑ!$B$2:$B$14)</f>
        <v>Μερική</v>
      </c>
      <c r="J110" t="str">
        <f t="shared" si="11"/>
        <v/>
      </c>
      <c r="K110" s="206">
        <f t="shared" si="8"/>
        <v>215</v>
      </c>
      <c r="L110" t="str">
        <f t="shared" si="9"/>
        <v>ΚΕΝΤΡΙΚΗΣ ΜΑΚΕΔΟΝΙΑΣ</v>
      </c>
      <c r="M110" t="str">
        <f t="shared" si="10"/>
        <v>ΚΕΝΤΡΙΚΗΣ ΜΑΚΕΔΟΝΙΑΣ - ΧΑΛΚΗΔΟΝΟΣ</v>
      </c>
      <c r="N110" s="204">
        <f t="shared" si="12"/>
        <v>14538</v>
      </c>
      <c r="O110" s="204" t="str">
        <f t="shared" si="13"/>
        <v>Χαλκηδόνος</v>
      </c>
    </row>
    <row r="111" spans="1:15" x14ac:dyDescent="0.25">
      <c r="A111" s="206">
        <v>110</v>
      </c>
      <c r="B111" t="s">
        <v>405</v>
      </c>
      <c r="C111" t="s">
        <v>374</v>
      </c>
      <c r="D111" t="s">
        <v>142</v>
      </c>
      <c r="E111" t="str">
        <f t="shared" si="7"/>
        <v xml:space="preserve">ΔΥΤΙΚΗΣ ΕΛΛΑΔΑΣ - ΙΕΡΑΣ ΠΟΛΗΣ ΜΕΣΟΛΟΓΓΙΟΥ, </v>
      </c>
      <c r="F111" s="232" t="s">
        <v>684</v>
      </c>
      <c r="G111" s="232">
        <v>14146</v>
      </c>
      <c r="H111" t="str">
        <f>IFERROR(INDEX(DimosNaiOxi,MATCH(ΤΚ!E111,DimosNai,0)),"")</f>
        <v>ΝΑΙ</v>
      </c>
      <c r="I111" t="str">
        <f>LOOKUP(B111,ΠΕΡΙΦΕΡΕΙΑ!$A$2:$A$14,ΠΕΡΙΦΕΡΕΙΑ!$B$2:$B$14)</f>
        <v>Μερική</v>
      </c>
      <c r="J111">
        <f t="shared" si="11"/>
        <v>110</v>
      </c>
      <c r="K111" s="206">
        <f t="shared" si="8"/>
        <v>216</v>
      </c>
      <c r="L111" t="str">
        <f t="shared" si="9"/>
        <v>ΚΕΝΤΡΙΚΗΣ ΜΑΚΕΔΟΝΙΑΣ</v>
      </c>
      <c r="M111" t="str">
        <f t="shared" si="10"/>
        <v>ΚΕΝΤΡΙΚΗΣ ΜΑΚΕΔΟΝΙΑΣ - ΩΡΑΙΟΚΑΣΤΡΟΥ</v>
      </c>
      <c r="N111" s="204">
        <f t="shared" si="12"/>
        <v>14550</v>
      </c>
      <c r="O111" s="204" t="str">
        <f t="shared" si="13"/>
        <v>Ωραιοκάστρου</v>
      </c>
    </row>
    <row r="112" spans="1:15" x14ac:dyDescent="0.25">
      <c r="A112" s="206">
        <v>111</v>
      </c>
      <c r="B112" t="s">
        <v>405</v>
      </c>
      <c r="C112" t="s">
        <v>375</v>
      </c>
      <c r="D112" t="s">
        <v>148</v>
      </c>
      <c r="E112" t="str">
        <f t="shared" si="7"/>
        <v xml:space="preserve">ΔΥΤΙΚΗΣ ΕΛΛΑΔΑΣ - ΚΑΛΑΒΡΥΤΩΝ, </v>
      </c>
      <c r="F112" s="232" t="s">
        <v>685</v>
      </c>
      <c r="G112" s="232">
        <v>14178</v>
      </c>
      <c r="H112" t="str">
        <f>IFERROR(INDEX(DimosNaiOxi,MATCH(ΤΚ!E112,DimosNai,0)),"")</f>
        <v/>
      </c>
      <c r="I112" t="str">
        <f>LOOKUP(B112,ΠΕΡΙΦΕΡΕΙΑ!$A$2:$A$14,ΠΕΡΙΦΕΡΕΙΑ!$B$2:$B$14)</f>
        <v>Μερική</v>
      </c>
      <c r="J112" t="str">
        <f t="shared" si="11"/>
        <v/>
      </c>
      <c r="K112" s="206">
        <f t="shared" si="8"/>
        <v>218</v>
      </c>
      <c r="L112" t="str">
        <f t="shared" si="9"/>
        <v>ΚΡΗΤΗΣ</v>
      </c>
      <c r="M112" t="str">
        <f t="shared" si="10"/>
        <v>ΚΡΗΤΗΣ - ΑΓΙΟΥ ΝΙΚΟΛΑΟΥ</v>
      </c>
      <c r="N112" s="204">
        <f t="shared" si="12"/>
        <v>13932</v>
      </c>
      <c r="O112" s="204" t="str">
        <f t="shared" si="13"/>
        <v>Αγίου Νικολάου</v>
      </c>
    </row>
    <row r="113" spans="1:15" x14ac:dyDescent="0.25">
      <c r="A113" s="206">
        <v>112</v>
      </c>
      <c r="B113" t="s">
        <v>405</v>
      </c>
      <c r="C113" t="s">
        <v>374</v>
      </c>
      <c r="D113" t="s">
        <v>143</v>
      </c>
      <c r="E113" t="str">
        <f t="shared" si="7"/>
        <v xml:space="preserve">ΔΥΤΙΚΗΣ ΕΛΛΑΔΑΣ - ΝΑΥΠΑΚΤΙΑΣ, </v>
      </c>
      <c r="F113" s="232" t="s">
        <v>686</v>
      </c>
      <c r="G113" s="232">
        <v>14332</v>
      </c>
      <c r="H113" t="str">
        <f>IFERROR(INDEX(DimosNaiOxi,MATCH(ΤΚ!E113,DimosNai,0)),"")</f>
        <v>ΝΑΙ</v>
      </c>
      <c r="I113" t="str">
        <f>LOOKUP(B113,ΠΕΡΙΦΕΡΕΙΑ!$A$2:$A$14,ΠΕΡΙΦΕΡΕΙΑ!$B$2:$B$14)</f>
        <v>Μερική</v>
      </c>
      <c r="J113">
        <f t="shared" si="11"/>
        <v>112</v>
      </c>
      <c r="K113" s="206">
        <f t="shared" si="8"/>
        <v>220</v>
      </c>
      <c r="L113" t="str">
        <f t="shared" si="9"/>
        <v>ΚΡΗΤΗΣ</v>
      </c>
      <c r="M113" t="str">
        <f t="shared" si="10"/>
        <v>ΚΡΗΤΗΣ - ΑΝΩΓΕΙΩΝ</v>
      </c>
      <c r="N113" s="204">
        <f t="shared" si="12"/>
        <v>13992</v>
      </c>
      <c r="O113" s="204" t="str">
        <f t="shared" si="13"/>
        <v>Ανωγείων</v>
      </c>
    </row>
    <row r="114" spans="1:15" x14ac:dyDescent="0.25">
      <c r="A114" s="206">
        <v>113</v>
      </c>
      <c r="B114" t="s">
        <v>405</v>
      </c>
      <c r="C114" t="s">
        <v>374</v>
      </c>
      <c r="D114" t="s">
        <v>144</v>
      </c>
      <c r="E114" t="str">
        <f t="shared" si="7"/>
        <v xml:space="preserve">ΔΥΤΙΚΗΣ ΕΛΛΑΔΑΣ - ΞΗΡΟΜΕΡΟΥ, </v>
      </c>
      <c r="F114" s="232" t="s">
        <v>687</v>
      </c>
      <c r="G114" s="232">
        <v>14348</v>
      </c>
      <c r="H114" t="str">
        <f>IFERROR(INDEX(DimosNaiOxi,MATCH(ΤΚ!E114,DimosNai,0)),"")</f>
        <v/>
      </c>
      <c r="I114" t="str">
        <f>LOOKUP(B114,ΠΕΡΙΦΕΡΕΙΑ!$A$2:$A$14,ΠΕΡΙΦΕΡΕΙΑ!$B$2:$B$14)</f>
        <v>Μερική</v>
      </c>
      <c r="J114" t="str">
        <f t="shared" si="11"/>
        <v/>
      </c>
      <c r="K114" s="206">
        <f t="shared" si="8"/>
        <v>221</v>
      </c>
      <c r="L114" t="str">
        <f t="shared" si="9"/>
        <v>ΚΡΗΤΗΣ</v>
      </c>
      <c r="M114" t="str">
        <f t="shared" si="10"/>
        <v>ΚΡΗΤΗΣ - ΑΠΟΚΟΡΩΝΟΥ</v>
      </c>
      <c r="N114" s="204">
        <f t="shared" si="12"/>
        <v>13994</v>
      </c>
      <c r="O114" s="204" t="str">
        <f t="shared" si="13"/>
        <v>Αποκορώνου</v>
      </c>
    </row>
    <row r="115" spans="1:15" x14ac:dyDescent="0.25">
      <c r="A115" s="206">
        <v>114</v>
      </c>
      <c r="B115" t="s">
        <v>405</v>
      </c>
      <c r="C115" t="s">
        <v>375</v>
      </c>
      <c r="D115" t="s">
        <v>149</v>
      </c>
      <c r="E115" t="str">
        <f t="shared" si="7"/>
        <v xml:space="preserve">ΔΥΤΙΚΗΣ ΕΛΛΑΔΑΣ - ΠΑΤΡΕΩΝ, </v>
      </c>
      <c r="F115" s="232" t="s">
        <v>688</v>
      </c>
      <c r="G115" s="232">
        <v>14402</v>
      </c>
      <c r="H115" t="str">
        <f>IFERROR(INDEX(DimosNaiOxi,MATCH(ΤΚ!E115,DimosNai,0)),"")</f>
        <v>ΝΑΙ</v>
      </c>
      <c r="I115" t="str">
        <f>LOOKUP(B115,ΠΕΡΙΦΕΡΕΙΑ!$A$2:$A$14,ΠΕΡΙΦΕΡΕΙΑ!$B$2:$B$14)</f>
        <v>Μερική</v>
      </c>
      <c r="J115">
        <f t="shared" si="11"/>
        <v>114</v>
      </c>
      <c r="K115" s="206">
        <f t="shared" si="8"/>
        <v>222</v>
      </c>
      <c r="L115" t="str">
        <f t="shared" si="9"/>
        <v>ΚΡΗΤΗΣ</v>
      </c>
      <c r="M115" t="str">
        <f t="shared" si="10"/>
        <v>ΚΡΗΤΗΣ - ΑΡΧΑΝΩΝ – ΑΣΤΕΡΟΥΣΙΩΝ</v>
      </c>
      <c r="N115" s="204">
        <f t="shared" si="12"/>
        <v>14006</v>
      </c>
      <c r="O115" s="204" t="str">
        <f t="shared" si="13"/>
        <v>Αρχανών - Αστερουσίων</v>
      </c>
    </row>
    <row r="116" spans="1:15" x14ac:dyDescent="0.25">
      <c r="A116" s="206">
        <v>115</v>
      </c>
      <c r="B116" t="s">
        <v>405</v>
      </c>
      <c r="C116" t="s">
        <v>376</v>
      </c>
      <c r="D116" t="s">
        <v>155</v>
      </c>
      <c r="E116" t="str">
        <f t="shared" si="7"/>
        <v xml:space="preserve">ΔΥΤΙΚΗΣ ΕΛΛΑΔΑΣ - ΠΗΝΕΙΟΥ, </v>
      </c>
      <c r="F116" s="232" t="s">
        <v>689</v>
      </c>
      <c r="G116" s="232">
        <v>14414</v>
      </c>
      <c r="H116" t="str">
        <f>IFERROR(INDEX(DimosNaiOxi,MATCH(ΤΚ!E116,DimosNai,0)),"")</f>
        <v/>
      </c>
      <c r="I116" t="str">
        <f>LOOKUP(B116,ΠΕΡΙΦΕΡΕΙΑ!$A$2:$A$14,ΠΕΡΙΦΕΡΕΙΑ!$B$2:$B$14)</f>
        <v>Μερική</v>
      </c>
      <c r="J116" t="str">
        <f t="shared" si="11"/>
        <v/>
      </c>
      <c r="K116" s="206">
        <f t="shared" si="8"/>
        <v>223</v>
      </c>
      <c r="L116" t="str">
        <f t="shared" si="9"/>
        <v>ΚΡΗΤΗΣ</v>
      </c>
      <c r="M116" t="str">
        <f t="shared" si="10"/>
        <v>ΚΡΗΤΗΣ - ΒΙΑΝΝΟΥ</v>
      </c>
      <c r="N116" s="204">
        <f t="shared" si="12"/>
        <v>14028</v>
      </c>
      <c r="O116" s="204" t="str">
        <f t="shared" si="13"/>
        <v>Βιάννου</v>
      </c>
    </row>
    <row r="117" spans="1:15" x14ac:dyDescent="0.25">
      <c r="A117" s="206">
        <v>116</v>
      </c>
      <c r="B117" t="s">
        <v>405</v>
      </c>
      <c r="C117" t="s">
        <v>376</v>
      </c>
      <c r="D117" t="s">
        <v>156</v>
      </c>
      <c r="E117" t="str">
        <f t="shared" si="7"/>
        <v xml:space="preserve">ΔΥΤΙΚΗΣ ΕΛΛΑΔΑΣ - ΠΥΡΓΟΥ, </v>
      </c>
      <c r="F117" s="232" t="s">
        <v>690</v>
      </c>
      <c r="G117" s="232">
        <v>14380</v>
      </c>
      <c r="H117" t="str">
        <f>IFERROR(INDEX(DimosNaiOxi,MATCH(ΤΚ!E117,DimosNai,0)),"")</f>
        <v>ΝΑΙ</v>
      </c>
      <c r="I117" t="str">
        <f>LOOKUP(B117,ΠΕΡΙΦΕΡΕΙΑ!$A$2:$A$14,ΠΕΡΙΦΕΡΕΙΑ!$B$2:$B$14)</f>
        <v>Μερική</v>
      </c>
      <c r="J117">
        <f t="shared" si="11"/>
        <v>116</v>
      </c>
      <c r="K117" s="206">
        <f t="shared" si="8"/>
        <v>225</v>
      </c>
      <c r="L117" t="str">
        <f t="shared" si="9"/>
        <v>ΚΡΗΤΗΣ</v>
      </c>
      <c r="M117" t="str">
        <f t="shared" si="10"/>
        <v>ΚΡΗΤΗΣ - ΓΟΡΤΥΝΑΣ</v>
      </c>
      <c r="N117" s="204">
        <f t="shared" si="12"/>
        <v>14038</v>
      </c>
      <c r="O117" s="204" t="str">
        <f t="shared" si="13"/>
        <v>Γόρτυνας</v>
      </c>
    </row>
    <row r="118" spans="1:15" x14ac:dyDescent="0.25">
      <c r="A118" s="206">
        <v>117</v>
      </c>
      <c r="B118" t="s">
        <v>406</v>
      </c>
      <c r="C118" t="s">
        <v>168</v>
      </c>
      <c r="D118" t="s">
        <v>166</v>
      </c>
      <c r="E118" t="str">
        <f t="shared" si="7"/>
        <v xml:space="preserve">ΔΥΤΙΚΗΣ ΜΑΚΕΔΟΝΙΑΣ - ΑΜΥΝΤΑΙΟΥ, </v>
      </c>
      <c r="F118" s="232" t="s">
        <v>691</v>
      </c>
      <c r="G118" s="232">
        <v>13974</v>
      </c>
      <c r="H118" t="str">
        <f>IFERROR(INDEX(DimosNaiOxi,MATCH(ΤΚ!E118,DimosNai,0)),"")</f>
        <v>ΝΑΙ</v>
      </c>
      <c r="I118" t="str">
        <f>LOOKUP(B118,ΠΕΡΙΦΕΡΕΙΑ!$A$2:$A$14,ΠΕΡΙΦΕΡΕΙΑ!$B$2:$B$14)</f>
        <v>Μερική</v>
      </c>
      <c r="J118">
        <f t="shared" si="11"/>
        <v>117</v>
      </c>
      <c r="K118" s="206">
        <f t="shared" si="8"/>
        <v>226</v>
      </c>
      <c r="L118" t="str">
        <f t="shared" si="9"/>
        <v>ΚΡΗΤΗΣ</v>
      </c>
      <c r="M118" t="str">
        <f t="shared" si="10"/>
        <v>ΚΡΗΤΗΣ - ΗΡΑΚΛΕΙΟΥ</v>
      </c>
      <c r="N118" s="204">
        <f t="shared" si="12"/>
        <v>14126</v>
      </c>
      <c r="O118" s="204" t="str">
        <f t="shared" si="13"/>
        <v>Ηρακλείου</v>
      </c>
    </row>
    <row r="119" spans="1:15" x14ac:dyDescent="0.25">
      <c r="A119" s="206">
        <v>118</v>
      </c>
      <c r="B119" t="s">
        <v>406</v>
      </c>
      <c r="C119" t="s">
        <v>164</v>
      </c>
      <c r="D119" t="s">
        <v>162</v>
      </c>
      <c r="E119" t="str">
        <f t="shared" si="7"/>
        <v xml:space="preserve">ΔΥΤΙΚΗΣ ΜΑΚΕΔΟΝΙΑΣ - ΒΟΪΟΥ, </v>
      </c>
      <c r="F119" s="232" t="s">
        <v>692</v>
      </c>
      <c r="G119" s="232">
        <v>14034</v>
      </c>
      <c r="H119" t="str">
        <f>IFERROR(INDEX(DimosNaiOxi,MATCH(ΤΚ!E119,DimosNai,0)),"")</f>
        <v>ΝΑΙ</v>
      </c>
      <c r="I119" t="str">
        <f>LOOKUP(B119,ΠΕΡΙΦΕΡΕΙΑ!$A$2:$A$14,ΠΕΡΙΦΕΡΕΙΑ!$B$2:$B$14)</f>
        <v>Μερική</v>
      </c>
      <c r="J119">
        <f t="shared" si="11"/>
        <v>118</v>
      </c>
      <c r="K119" s="206">
        <f t="shared" si="8"/>
        <v>227</v>
      </c>
      <c r="L119" t="str">
        <f t="shared" si="9"/>
        <v>ΚΡΗΤΗΣ</v>
      </c>
      <c r="M119" t="str">
        <f t="shared" si="10"/>
        <v>ΚΡΗΤΗΣ - ΙΕΡΑΠΕΤΡΑΣ</v>
      </c>
      <c r="N119" s="204">
        <f t="shared" si="12"/>
        <v>14144</v>
      </c>
      <c r="O119" s="204" t="str">
        <f t="shared" si="13"/>
        <v>Ιεράπετρας</v>
      </c>
    </row>
    <row r="120" spans="1:15" x14ac:dyDescent="0.25">
      <c r="A120" s="206">
        <v>119</v>
      </c>
      <c r="B120" t="s">
        <v>406</v>
      </c>
      <c r="C120" t="s">
        <v>157</v>
      </c>
      <c r="D120" t="s">
        <v>157</v>
      </c>
      <c r="E120" t="str">
        <f t="shared" si="7"/>
        <v xml:space="preserve">ΔΥΤΙΚΗΣ ΜΑΚΕΔΟΝΙΑΣ - ΓΡΕΒΕΝΩΝ, </v>
      </c>
      <c r="F120" s="232" t="s">
        <v>693</v>
      </c>
      <c r="G120" s="232">
        <v>14050</v>
      </c>
      <c r="H120" t="str">
        <f>IFERROR(INDEX(DimosNaiOxi,MATCH(ΤΚ!E120,DimosNai,0)),"")</f>
        <v>ΝΑΙ</v>
      </c>
      <c r="I120" t="str">
        <f>LOOKUP(B120,ΠΕΡΙΦΕΡΕΙΑ!$A$2:$A$14,ΠΕΡΙΦΕΡΕΙΑ!$B$2:$B$14)</f>
        <v>Μερική</v>
      </c>
      <c r="J120">
        <f t="shared" si="11"/>
        <v>119</v>
      </c>
      <c r="K120" s="206">
        <f t="shared" si="8"/>
        <v>230</v>
      </c>
      <c r="L120" t="str">
        <f t="shared" si="9"/>
        <v>ΚΡΗΤΗΣ</v>
      </c>
      <c r="M120" t="str">
        <f t="shared" si="10"/>
        <v>ΚΡΗΤΗΣ - ΜΑΛΕΒΙΖΙΟΥ</v>
      </c>
      <c r="N120" s="204">
        <f t="shared" si="12"/>
        <v>14276</v>
      </c>
      <c r="O120" s="204" t="str">
        <f t="shared" si="13"/>
        <v>Μαλεβιζίου</v>
      </c>
    </row>
    <row r="121" spans="1:15" x14ac:dyDescent="0.25">
      <c r="A121" s="206">
        <v>120</v>
      </c>
      <c r="B121" t="s">
        <v>406</v>
      </c>
      <c r="C121" t="s">
        <v>157</v>
      </c>
      <c r="D121" t="s">
        <v>158</v>
      </c>
      <c r="E121" t="str">
        <f t="shared" si="7"/>
        <v xml:space="preserve">ΔΥΤΙΚΗΣ ΜΑΚΕΔΟΝΙΑΣ - ΔΕΣΚΑΤΗΣ, </v>
      </c>
      <c r="F121" s="232" t="s">
        <v>694</v>
      </c>
      <c r="G121" s="232">
        <v>14060</v>
      </c>
      <c r="H121" t="str">
        <f>IFERROR(INDEX(DimosNaiOxi,MATCH(ΤΚ!E121,DimosNai,0)),"")</f>
        <v>ΝΑΙ</v>
      </c>
      <c r="I121" t="str">
        <f>LOOKUP(B121,ΠΕΡΙΦΕΡΕΙΑ!$A$2:$A$14,ΠΕΡΙΦΕΡΕΙΑ!$B$2:$B$14)</f>
        <v>Μερική</v>
      </c>
      <c r="J121">
        <f t="shared" si="11"/>
        <v>120</v>
      </c>
      <c r="K121" s="206">
        <f t="shared" si="8"/>
        <v>231</v>
      </c>
      <c r="L121" t="str">
        <f t="shared" si="9"/>
        <v>ΚΡΗΤΗΣ</v>
      </c>
      <c r="M121" t="str">
        <f t="shared" si="10"/>
        <v>ΚΡΗΤΗΣ - ΜΙΝΩΑ ΠΕΔΙΑΔΑΣ</v>
      </c>
      <c r="N121" s="204">
        <f t="shared" si="12"/>
        <v>14300</v>
      </c>
      <c r="O121" s="204" t="str">
        <f t="shared" si="13"/>
        <v>Μινώα Πεδιάδας</v>
      </c>
    </row>
    <row r="122" spans="1:15" x14ac:dyDescent="0.25">
      <c r="A122" s="206">
        <v>121</v>
      </c>
      <c r="B122" t="s">
        <v>406</v>
      </c>
      <c r="C122" t="s">
        <v>164</v>
      </c>
      <c r="D122" t="s">
        <v>163</v>
      </c>
      <c r="E122" t="str">
        <f t="shared" si="7"/>
        <v xml:space="preserve">ΔΥΤΙΚΗΣ ΜΑΚΕΔΟΝΙΑΣ - ΕΟΡΔΑΙΑΣ, </v>
      </c>
      <c r="F122" s="232" t="s">
        <v>695</v>
      </c>
      <c r="G122" s="232">
        <v>14094</v>
      </c>
      <c r="H122" t="str">
        <f>IFERROR(INDEX(DimosNaiOxi,MATCH(ΤΚ!E122,DimosNai,0)),"")</f>
        <v>ΝΑΙ</v>
      </c>
      <c r="I122" t="str">
        <f>LOOKUP(B122,ΠΕΡΙΦΕΡΕΙΑ!$A$2:$A$14,ΠΕΡΙΦΕΡΕΙΑ!$B$2:$B$14)</f>
        <v>Μερική</v>
      </c>
      <c r="J122">
        <f t="shared" si="11"/>
        <v>121</v>
      </c>
      <c r="K122" s="206">
        <f t="shared" si="8"/>
        <v>232</v>
      </c>
      <c r="L122" t="str">
        <f t="shared" si="9"/>
        <v>ΚΡΗΤΗΣ</v>
      </c>
      <c r="M122" t="str">
        <f t="shared" si="10"/>
        <v>ΚΡΗΤΗΣ - ΜΥΛΟΠΟΤΑΜΟΥ</v>
      </c>
      <c r="N122" s="204">
        <f t="shared" si="12"/>
        <v>14310</v>
      </c>
      <c r="O122" s="204" t="str">
        <f t="shared" si="13"/>
        <v>Μυλοποτάμου</v>
      </c>
    </row>
    <row r="123" spans="1:15" x14ac:dyDescent="0.25">
      <c r="A123" s="206">
        <v>122</v>
      </c>
      <c r="B123" t="s">
        <v>406</v>
      </c>
      <c r="C123" t="s">
        <v>159</v>
      </c>
      <c r="D123" t="s">
        <v>159</v>
      </c>
      <c r="E123" t="str">
        <f t="shared" si="7"/>
        <v xml:space="preserve">ΔΥΤΙΚΗΣ ΜΑΚΕΔΟΝΙΑΣ - ΚΑΣΤΟΡΙΑΣ, </v>
      </c>
      <c r="F123" s="232" t="s">
        <v>696</v>
      </c>
      <c r="G123" s="232">
        <v>14202</v>
      </c>
      <c r="H123" t="str">
        <f>IFERROR(INDEX(DimosNaiOxi,MATCH(ΤΚ!E123,DimosNai,0)),"")</f>
        <v>ΝΑΙ</v>
      </c>
      <c r="I123" t="str">
        <f>LOOKUP(B123,ΠΕΡΙΦΕΡΕΙΑ!$A$2:$A$14,ΠΕΡΙΦΕΡΕΙΑ!$B$2:$B$14)</f>
        <v>Μερική</v>
      </c>
      <c r="J123">
        <f t="shared" si="11"/>
        <v>122</v>
      </c>
      <c r="K123" s="206">
        <f t="shared" si="8"/>
        <v>234</v>
      </c>
      <c r="L123" t="str">
        <f t="shared" si="9"/>
        <v>ΚΡΗΤΗΣ</v>
      </c>
      <c r="M123" t="str">
        <f t="shared" si="10"/>
        <v>ΚΡΗΤΗΣ - ΠΛΑΤΑΝΙΑ</v>
      </c>
      <c r="N123" s="204">
        <f t="shared" si="12"/>
        <v>14416</v>
      </c>
      <c r="O123" s="204" t="str">
        <f t="shared" si="13"/>
        <v>Πλατανιά</v>
      </c>
    </row>
    <row r="124" spans="1:15" x14ac:dyDescent="0.25">
      <c r="A124" s="206">
        <v>123</v>
      </c>
      <c r="B124" t="s">
        <v>406</v>
      </c>
      <c r="C124" t="s">
        <v>164</v>
      </c>
      <c r="D124" t="s">
        <v>164</v>
      </c>
      <c r="E124" t="str">
        <f t="shared" si="7"/>
        <v xml:space="preserve">ΔΥΤΙΚΗΣ ΜΑΚΕΔΟΝΙΑΣ - ΚΟΖΑΝΗΣ, </v>
      </c>
      <c r="F124" s="232" t="s">
        <v>697</v>
      </c>
      <c r="G124" s="232">
        <v>14222</v>
      </c>
      <c r="H124" t="str">
        <f>IFERROR(INDEX(DimosNaiOxi,MATCH(ΤΚ!E124,DimosNai,0)),"")</f>
        <v>ΝΑΙ</v>
      </c>
      <c r="I124" t="str">
        <f>LOOKUP(B124,ΠΕΡΙΦΕΡΕΙΑ!$A$2:$A$14,ΠΕΡΙΦΕΡΕΙΑ!$B$2:$B$14)</f>
        <v>Μερική</v>
      </c>
      <c r="J124">
        <f t="shared" si="11"/>
        <v>123</v>
      </c>
      <c r="K124" s="206">
        <f t="shared" si="8"/>
        <v>235</v>
      </c>
      <c r="L124" t="str">
        <f t="shared" si="9"/>
        <v>ΚΡΗΤΗΣ</v>
      </c>
      <c r="M124" t="str">
        <f t="shared" si="10"/>
        <v>ΚΡΗΤΗΣ - ΡΕΘΥΜΝΗΣ</v>
      </c>
      <c r="N124" s="204">
        <f t="shared" si="12"/>
        <v>14436</v>
      </c>
      <c r="O124" s="204" t="str">
        <f t="shared" si="13"/>
        <v>Ρεθύμνης</v>
      </c>
    </row>
    <row r="125" spans="1:15" x14ac:dyDescent="0.25">
      <c r="A125" s="206">
        <v>124</v>
      </c>
      <c r="B125" t="s">
        <v>406</v>
      </c>
      <c r="C125" t="s">
        <v>159</v>
      </c>
      <c r="D125" t="s">
        <v>160</v>
      </c>
      <c r="E125" t="str">
        <f t="shared" si="7"/>
        <v xml:space="preserve">ΔΥΤΙΚΗΣ ΜΑΚΕΔΟΝΙΑΣ - ΝΕΣΤΟΡΙΟΥ, </v>
      </c>
      <c r="F125" s="232" t="s">
        <v>698</v>
      </c>
      <c r="G125" s="232">
        <v>14338</v>
      </c>
      <c r="H125" t="str">
        <f>IFERROR(INDEX(DimosNaiOxi,MATCH(ΤΚ!E125,DimosNai,0)),"")</f>
        <v>ΝΑΙ</v>
      </c>
      <c r="I125" t="str">
        <f>LOOKUP(B125,ΠΕΡΙΦΕΡΕΙΑ!$A$2:$A$14,ΠΕΡΙΦΕΡΕΙΑ!$B$2:$B$14)</f>
        <v>Μερική</v>
      </c>
      <c r="J125">
        <f t="shared" si="11"/>
        <v>124</v>
      </c>
      <c r="K125" s="206">
        <f t="shared" si="8"/>
        <v>236</v>
      </c>
      <c r="L125" t="str">
        <f t="shared" si="9"/>
        <v>ΚΡΗΤΗΣ</v>
      </c>
      <c r="M125" t="str">
        <f t="shared" si="10"/>
        <v>ΚΡΗΤΗΣ - ΣΗΤΕΙΑΣ</v>
      </c>
      <c r="N125" s="204">
        <f t="shared" si="12"/>
        <v>14458</v>
      </c>
      <c r="O125" s="204" t="str">
        <f t="shared" si="13"/>
        <v>Σητείας</v>
      </c>
    </row>
    <row r="126" spans="1:15" x14ac:dyDescent="0.25">
      <c r="A126" s="206">
        <v>125</v>
      </c>
      <c r="B126" t="s">
        <v>406</v>
      </c>
      <c r="C126" t="s">
        <v>159</v>
      </c>
      <c r="D126" t="s">
        <v>161</v>
      </c>
      <c r="E126" t="str">
        <f t="shared" si="7"/>
        <v xml:space="preserve">ΔΥΤΙΚΗΣ ΜΑΚΕΔΟΝΙΑΣ - ΟΡΕΣΤΙΔΟΣ, </v>
      </c>
      <c r="F126" s="232" t="s">
        <v>699</v>
      </c>
      <c r="G126" s="232">
        <v>14356</v>
      </c>
      <c r="H126" t="str">
        <f>IFERROR(INDEX(DimosNaiOxi,MATCH(ΤΚ!E126,DimosNai,0)),"")</f>
        <v>ΝΑΙ</v>
      </c>
      <c r="I126" t="str">
        <f>LOOKUP(B126,ΠΕΡΙΦΕΡΕΙΑ!$A$2:$A$14,ΠΕΡΙΦΕΡΕΙΑ!$B$2:$B$14)</f>
        <v>Μερική</v>
      </c>
      <c r="J126">
        <f t="shared" si="11"/>
        <v>125</v>
      </c>
      <c r="K126" s="206">
        <f t="shared" si="8"/>
        <v>238</v>
      </c>
      <c r="L126" t="str">
        <f t="shared" si="9"/>
        <v>ΚΡΗΤΗΣ</v>
      </c>
      <c r="M126" t="str">
        <f t="shared" si="10"/>
        <v>ΚΡΗΤΗΣ - ΦΑΙΣΤΟΥ</v>
      </c>
      <c r="N126" s="204">
        <f t="shared" si="12"/>
        <v>14512</v>
      </c>
      <c r="O126" s="204" t="str">
        <f t="shared" si="13"/>
        <v>Φαιστού</v>
      </c>
    </row>
    <row r="127" spans="1:15" x14ac:dyDescent="0.25">
      <c r="A127" s="206">
        <v>126</v>
      </c>
      <c r="B127" t="s">
        <v>406</v>
      </c>
      <c r="C127" t="s">
        <v>168</v>
      </c>
      <c r="D127" t="s">
        <v>167</v>
      </c>
      <c r="E127" t="str">
        <f t="shared" si="7"/>
        <v xml:space="preserve">ΔΥΤΙΚΗΣ ΜΑΚΕΔΟΝΙΑΣ - ΠΡΕΣΠΩΝ, </v>
      </c>
      <c r="F127" s="232" t="s">
        <v>700</v>
      </c>
      <c r="G127" s="232">
        <v>14422</v>
      </c>
      <c r="H127" t="str">
        <f>IFERROR(INDEX(DimosNaiOxi,MATCH(ΤΚ!E127,DimosNai,0)),"")</f>
        <v/>
      </c>
      <c r="I127" t="str">
        <f>LOOKUP(B127,ΠΕΡΙΦΕΡΕΙΑ!$A$2:$A$14,ΠΕΡΙΦΕΡΕΙΑ!$B$2:$B$14)</f>
        <v>Μερική</v>
      </c>
      <c r="J127" t="str">
        <f t="shared" si="11"/>
        <v/>
      </c>
      <c r="K127" s="206">
        <f t="shared" si="8"/>
        <v>239</v>
      </c>
      <c r="L127" t="str">
        <f t="shared" si="9"/>
        <v>ΚΡΗΤΗΣ</v>
      </c>
      <c r="M127" t="str">
        <f t="shared" si="10"/>
        <v>ΚΡΗΤΗΣ - ΧΑΝΙΩΝ</v>
      </c>
      <c r="N127" s="204">
        <f t="shared" si="12"/>
        <v>14542</v>
      </c>
      <c r="O127" s="204" t="str">
        <f t="shared" si="13"/>
        <v>Χανίων</v>
      </c>
    </row>
    <row r="128" spans="1:15" x14ac:dyDescent="0.25">
      <c r="A128" s="206">
        <v>127</v>
      </c>
      <c r="B128" t="s">
        <v>406</v>
      </c>
      <c r="C128" t="s">
        <v>164</v>
      </c>
      <c r="D128" t="s">
        <v>165</v>
      </c>
      <c r="E128" t="str">
        <f t="shared" si="7"/>
        <v xml:space="preserve">ΔΥΤΙΚΗΣ ΜΑΚΕΔΟΝΙΑΣ - ΣΕΡΒΙΩΝ – ΒΕΛΒΕΝΤΟΥ, </v>
      </c>
      <c r="F128" s="232" t="s">
        <v>701</v>
      </c>
      <c r="G128" s="232">
        <v>14454</v>
      </c>
      <c r="H128" t="str">
        <f>IFERROR(INDEX(DimosNaiOxi,MATCH(ΤΚ!E128,DimosNai,0)),"")</f>
        <v>ΝΑΙ</v>
      </c>
      <c r="I128" t="str">
        <f>LOOKUP(B128,ΠΕΡΙΦΕΡΕΙΑ!$A$2:$A$14,ΠΕΡΙΦΕΡΕΙΑ!$B$2:$B$14)</f>
        <v>Μερική</v>
      </c>
      <c r="J128">
        <f t="shared" si="11"/>
        <v>127</v>
      </c>
      <c r="K128" s="206">
        <f t="shared" si="8"/>
        <v>240</v>
      </c>
      <c r="L128" t="str">
        <f t="shared" si="9"/>
        <v>ΚΡΗΤΗΣ</v>
      </c>
      <c r="M128" t="str">
        <f t="shared" si="10"/>
        <v>ΚΡΗΤΗΣ - ΧΕΡΣΟΝΗΣΟΥ</v>
      </c>
      <c r="N128" s="204">
        <f t="shared" si="12"/>
        <v>14546</v>
      </c>
      <c r="O128" s="204" t="str">
        <f t="shared" si="13"/>
        <v>Χερσονήσου</v>
      </c>
    </row>
    <row r="129" spans="1:15" x14ac:dyDescent="0.25">
      <c r="A129" s="206">
        <v>128</v>
      </c>
      <c r="B129" t="s">
        <v>406</v>
      </c>
      <c r="C129" t="s">
        <v>168</v>
      </c>
      <c r="D129" t="s">
        <v>168</v>
      </c>
      <c r="E129" t="str">
        <f t="shared" si="7"/>
        <v xml:space="preserve">ΔΥΤΙΚΗΣ ΜΑΚΕΔΟΝΙΑΣ - ΦΛΩΡΙΝΑΣ, </v>
      </c>
      <c r="F129" s="232" t="s">
        <v>702</v>
      </c>
      <c r="G129" s="232">
        <v>14524</v>
      </c>
      <c r="H129" t="str">
        <f>IFERROR(INDEX(DimosNaiOxi,MATCH(ΤΚ!E129,DimosNai,0)),"")</f>
        <v>ΝΑΙ</v>
      </c>
      <c r="I129" t="str">
        <f>LOOKUP(B129,ΠΕΡΙΦΕΡΕΙΑ!$A$2:$A$14,ΠΕΡΙΦΕΡΕΙΑ!$B$2:$B$14)</f>
        <v>Μερική</v>
      </c>
      <c r="J129">
        <f t="shared" si="11"/>
        <v>128</v>
      </c>
      <c r="K129" s="206">
        <f t="shared" si="8"/>
        <v>276</v>
      </c>
      <c r="L129" t="str">
        <f t="shared" si="9"/>
        <v>ΠΕΛΟΠΟΝΝΗΣΟΥ</v>
      </c>
      <c r="M129" t="str">
        <f t="shared" si="10"/>
        <v>ΠΕΛΟΠΟΝΝΗΣΟΥ - ΑΡΓΟΥΣ – ΜΥΚΗΝΩΝ</v>
      </c>
      <c r="N129" s="204">
        <f t="shared" si="12"/>
        <v>13910</v>
      </c>
      <c r="O129" s="204" t="str">
        <f t="shared" si="13"/>
        <v>Άργους - Μυκηνών</v>
      </c>
    </row>
    <row r="130" spans="1:15" x14ac:dyDescent="0.25">
      <c r="A130" s="206">
        <v>129</v>
      </c>
      <c r="B130" t="s">
        <v>407</v>
      </c>
      <c r="C130" t="s">
        <v>377</v>
      </c>
      <c r="D130" t="s">
        <v>169</v>
      </c>
      <c r="E130" t="str">
        <f t="shared" ref="E130:E193" si="14">B130&amp;" - "&amp;D130&amp;", "</f>
        <v xml:space="preserve">ΗΠΕΙΡΟΥ - ΑΡΤΑΙΩΝ, </v>
      </c>
      <c r="F130" s="232" t="s">
        <v>703</v>
      </c>
      <c r="G130" s="232">
        <v>14002</v>
      </c>
      <c r="H130" t="str">
        <f>IFERROR(INDEX(DimosNaiOxi,MATCH(ΤΚ!E130,DimosNai,0)),"")</f>
        <v>ΝΑΙ</v>
      </c>
      <c r="I130" t="str">
        <f>LOOKUP(B130,ΠΕΡΙΦΕΡΕΙΑ!$A$2:$A$14,ΠΕΡΙΦΕΡΕΙΑ!$B$2:$B$14)</f>
        <v>Μερική</v>
      </c>
      <c r="J130">
        <f t="shared" si="11"/>
        <v>129</v>
      </c>
      <c r="K130" s="206">
        <f t="shared" ref="K130:K193" si="15">SMALL(J:J,A130)</f>
        <v>277</v>
      </c>
      <c r="L130" t="str">
        <f t="shared" ref="L130:L193" si="16">IF(ISNUMBER(K130),LOOKUP(K130,A:A,B:B),"")</f>
        <v>ΠΕΛΟΠΟΝΝΗΣΟΥ</v>
      </c>
      <c r="M130" t="str">
        <f t="shared" ref="M130:M193" si="17">IF(ISNUMBER(K130),LOOKUP(K130,A:A,B:B)&amp;" - "&amp;LOOKUP(K130,A:A,D:D),"")</f>
        <v>ΠΕΛΟΠΟΝΝΗΣΟΥ - ΒΕΛΟΥ – ΒΟΧΑΣ</v>
      </c>
      <c r="N130" s="204">
        <f t="shared" si="12"/>
        <v>14016</v>
      </c>
      <c r="O130" s="204" t="str">
        <f t="shared" si="13"/>
        <v>Βέλου - Βόχας</v>
      </c>
    </row>
    <row r="131" spans="1:15" x14ac:dyDescent="0.25">
      <c r="A131" s="206">
        <v>130</v>
      </c>
      <c r="B131" t="s">
        <v>407</v>
      </c>
      <c r="C131" t="s">
        <v>379</v>
      </c>
      <c r="D131" t="s">
        <v>176</v>
      </c>
      <c r="E131" t="str">
        <f t="shared" si="14"/>
        <v xml:space="preserve">ΗΠΕΙΡΟΥ - ΒΟΡΕΙΩΝ ΤΖΟΥΜΕΡΚΩΝ, </v>
      </c>
      <c r="F131" s="232" t="s">
        <v>704</v>
      </c>
      <c r="G131" s="232">
        <v>14032</v>
      </c>
      <c r="H131" t="str">
        <f>IFERROR(INDEX(DimosNaiOxi,MATCH(ΤΚ!E131,DimosNai,0)),"")</f>
        <v/>
      </c>
      <c r="I131" t="str">
        <f>LOOKUP(B131,ΠΕΡΙΦΕΡΕΙΑ!$A$2:$A$14,ΠΕΡΙΦΕΡΕΙΑ!$B$2:$B$14)</f>
        <v>Μερική</v>
      </c>
      <c r="J131" t="str">
        <f t="shared" ref="J131:J194" si="18">IF(OR(AND(I131="Μερική",H131="ΝΑΙ"),I131="Ολική"),A131,"")</f>
        <v/>
      </c>
      <c r="K131" s="206">
        <f t="shared" si="15"/>
        <v>285</v>
      </c>
      <c r="L131" t="str">
        <f t="shared" si="16"/>
        <v>ΠΕΛΟΠΟΝΝΗΣΟΥ</v>
      </c>
      <c r="M131" t="str">
        <f t="shared" si="17"/>
        <v>ΠΕΛΟΠΟΝΝΗΣΟΥ - ΚΑΛΑΜΑΤΑΣ</v>
      </c>
      <c r="N131" s="204">
        <f t="shared" ref="N131:N194" si="19">IF(ISNUMBER(K131),LOOKUP(K131,A:A,G:G),"")</f>
        <v>14180</v>
      </c>
      <c r="O131" s="204" t="str">
        <f t="shared" ref="O131:O194" si="20">IF(ISNUMBER(K131),LOOKUP(K131,A:A,F:F),"")</f>
        <v>Καλαμάτας</v>
      </c>
    </row>
    <row r="132" spans="1:15" x14ac:dyDescent="0.25">
      <c r="A132" s="206">
        <v>131</v>
      </c>
      <c r="B132" t="s">
        <v>407</v>
      </c>
      <c r="C132" t="s">
        <v>377</v>
      </c>
      <c r="D132" t="s">
        <v>170</v>
      </c>
      <c r="E132" t="str">
        <f t="shared" si="14"/>
        <v xml:space="preserve">ΗΠΕΙΡΟΥ - ΓΕΩΡΓΙΟΥ ΚΑΡΑΪΣΚΑΚΗ, </v>
      </c>
      <c r="F132" s="232" t="s">
        <v>705</v>
      </c>
      <c r="G132" s="232">
        <v>14044</v>
      </c>
      <c r="H132" t="str">
        <f>IFERROR(INDEX(DimosNaiOxi,MATCH(ΤΚ!E132,DimosNai,0)),"")</f>
        <v/>
      </c>
      <c r="I132" t="str">
        <f>LOOKUP(B132,ΠΕΡΙΦΕΡΕΙΑ!$A$2:$A$14,ΠΕΡΙΦΕΡΕΙΑ!$B$2:$B$14)</f>
        <v>Μερική</v>
      </c>
      <c r="J132" t="str">
        <f t="shared" si="18"/>
        <v/>
      </c>
      <c r="K132" s="206">
        <f t="shared" si="15"/>
        <v>286</v>
      </c>
      <c r="L132" t="str">
        <f t="shared" si="16"/>
        <v>ΠΕΛΟΠΟΝΝΗΣΟΥ</v>
      </c>
      <c r="M132" t="str">
        <f t="shared" si="17"/>
        <v>ΠΕΛΟΠΟΝΝΗΣΟΥ - ΚΟΡΙΝΘΙΩΝ</v>
      </c>
      <c r="N132" s="204">
        <f t="shared" si="19"/>
        <v>14228</v>
      </c>
      <c r="O132" s="204" t="str">
        <f t="shared" si="20"/>
        <v>Κορινθίων</v>
      </c>
    </row>
    <row r="133" spans="1:15" x14ac:dyDescent="0.25">
      <c r="A133" s="206">
        <v>132</v>
      </c>
      <c r="B133" t="s">
        <v>407</v>
      </c>
      <c r="C133" t="s">
        <v>379</v>
      </c>
      <c r="D133" t="s">
        <v>177</v>
      </c>
      <c r="E133" t="str">
        <f t="shared" si="14"/>
        <v xml:space="preserve">ΗΠΕΙΡΟΥ - ΔΩΔΩΝΗΣ, </v>
      </c>
      <c r="F133" s="232" t="s">
        <v>706</v>
      </c>
      <c r="G133" s="232">
        <v>14080</v>
      </c>
      <c r="H133" t="str">
        <f>IFERROR(INDEX(DimosNaiOxi,MATCH(ΤΚ!E133,DimosNai,0)),"")</f>
        <v/>
      </c>
      <c r="I133" t="str">
        <f>LOOKUP(B133,ΠΕΡΙΦΕΡΕΙΑ!$A$2:$A$14,ΠΕΡΙΦΕΡΕΙΑ!$B$2:$B$14)</f>
        <v>Μερική</v>
      </c>
      <c r="J133" t="str">
        <f t="shared" si="18"/>
        <v/>
      </c>
      <c r="K133" s="206">
        <f t="shared" si="15"/>
        <v>287</v>
      </c>
      <c r="L133" t="str">
        <f t="shared" si="16"/>
        <v>ΠΕΛΟΠΟΝΝΗΣΟΥ</v>
      </c>
      <c r="M133" t="str">
        <f t="shared" si="17"/>
        <v>ΠΕΛΟΠΟΝΝΗΣΟΥ - ΛΟΥΤΡΑΚΙΟΥ – ΑΓΙΩΝ ΘΕΟΔΩΡΩΝ</v>
      </c>
      <c r="N133" s="204">
        <f t="shared" si="19"/>
        <v>14262</v>
      </c>
      <c r="O133" s="204" t="str">
        <f t="shared" si="20"/>
        <v>Λουτρακίου - Αγ. Θεοδώρων</v>
      </c>
    </row>
    <row r="134" spans="1:15" x14ac:dyDescent="0.25">
      <c r="A134" s="206">
        <v>133</v>
      </c>
      <c r="B134" t="s">
        <v>407</v>
      </c>
      <c r="C134" t="s">
        <v>379</v>
      </c>
      <c r="D134" t="s">
        <v>178</v>
      </c>
      <c r="E134" t="str">
        <f t="shared" si="14"/>
        <v xml:space="preserve">ΗΠΕΙΡΟΥ - ΖΑΓΟΡΙΟΥ, </v>
      </c>
      <c r="F134" s="232" t="s">
        <v>707</v>
      </c>
      <c r="G134" s="232">
        <v>14110</v>
      </c>
      <c r="H134" t="str">
        <f>IFERROR(INDEX(DimosNaiOxi,MATCH(ΤΚ!E134,DimosNai,0)),"")</f>
        <v/>
      </c>
      <c r="I134" t="str">
        <f>LOOKUP(B134,ΠΕΡΙΦΕΡΕΙΑ!$A$2:$A$14,ΠΕΡΙΦΕΡΕΙΑ!$B$2:$B$14)</f>
        <v>Μερική</v>
      </c>
      <c r="J134" t="str">
        <f t="shared" si="18"/>
        <v/>
      </c>
      <c r="K134" s="206">
        <f t="shared" si="15"/>
        <v>291</v>
      </c>
      <c r="L134" t="str">
        <f t="shared" si="16"/>
        <v>ΠΕΛΟΠΟΝΝΗΣΟΥ</v>
      </c>
      <c r="M134" t="str">
        <f t="shared" si="17"/>
        <v>ΠΕΛΟΠΟΝΝΗΣΟΥ - ΝΑΥΠΛΙΕΩΝ</v>
      </c>
      <c r="N134" s="204">
        <f t="shared" si="19"/>
        <v>14334</v>
      </c>
      <c r="O134" s="204" t="str">
        <f t="shared" si="20"/>
        <v>Ναυπλιέων</v>
      </c>
    </row>
    <row r="135" spans="1:15" x14ac:dyDescent="0.25">
      <c r="A135" s="206">
        <v>134</v>
      </c>
      <c r="B135" t="s">
        <v>407</v>
      </c>
      <c r="C135" t="s">
        <v>186</v>
      </c>
      <c r="D135" t="s">
        <v>184</v>
      </c>
      <c r="E135" t="str">
        <f t="shared" si="14"/>
        <v xml:space="preserve">ΗΠΕΙΡΟΥ - ΖΗΡΟΥ, </v>
      </c>
      <c r="F135" s="232" t="s">
        <v>708</v>
      </c>
      <c r="G135" s="232">
        <v>14116</v>
      </c>
      <c r="H135" t="str">
        <f>IFERROR(INDEX(DimosNaiOxi,MATCH(ΤΚ!E135,DimosNai,0)),"")</f>
        <v>ΝΑΙ</v>
      </c>
      <c r="I135" t="str">
        <f>LOOKUP(B135,ΠΕΡΙΦΕΡΕΙΑ!$A$2:$A$14,ΠΕΡΙΦΕΡΕΙΑ!$B$2:$B$14)</f>
        <v>Μερική</v>
      </c>
      <c r="J135">
        <f t="shared" si="18"/>
        <v>134</v>
      </c>
      <c r="K135" s="206">
        <f t="shared" si="15"/>
        <v>294</v>
      </c>
      <c r="L135" t="str">
        <f t="shared" si="16"/>
        <v>ΠΕΛΟΠΟΝΝΗΣΟΥ</v>
      </c>
      <c r="M135" t="str">
        <f t="shared" si="17"/>
        <v>ΠΕΛΟΠΟΝΝΗΣΟΥ - ΞΥΛΟΚΑΣΤΡΟΥ – ΕΥΡΩΣΤΙΝΗΣ</v>
      </c>
      <c r="N135" s="204">
        <f t="shared" si="19"/>
        <v>14350</v>
      </c>
      <c r="O135" s="204" t="str">
        <f t="shared" si="20"/>
        <v>Ξυλοκάστρου - Ευρωστίνης</v>
      </c>
    </row>
    <row r="136" spans="1:15" x14ac:dyDescent="0.25">
      <c r="A136" s="206">
        <v>135</v>
      </c>
      <c r="B136" t="s">
        <v>407</v>
      </c>
      <c r="C136" t="s">
        <v>379</v>
      </c>
      <c r="D136" t="s">
        <v>179</v>
      </c>
      <c r="E136" t="str">
        <f t="shared" si="14"/>
        <v xml:space="preserve">ΗΠΕΙΡΟΥ - ΖΙΤΣΑΣ, </v>
      </c>
      <c r="F136" s="232" t="s">
        <v>709</v>
      </c>
      <c r="G136" s="232">
        <v>14106</v>
      </c>
      <c r="H136" t="str">
        <f>IFERROR(INDEX(DimosNaiOxi,MATCH(ΤΚ!E136,DimosNai,0)),"")</f>
        <v>ΝΑΙ</v>
      </c>
      <c r="I136" t="str">
        <f>LOOKUP(B136,ΠΕΡΙΦΕΡΕΙΑ!$A$2:$A$14,ΠΕΡΙΦΕΡΕΙΑ!$B$2:$B$14)</f>
        <v>Μερική</v>
      </c>
      <c r="J136">
        <f t="shared" si="18"/>
        <v>135</v>
      </c>
      <c r="K136" s="206">
        <f t="shared" si="15"/>
        <v>297</v>
      </c>
      <c r="L136" t="str">
        <f t="shared" si="16"/>
        <v>ΠΕΛΟΠΟΝΝΗΣΟΥ</v>
      </c>
      <c r="M136" t="str">
        <f t="shared" si="17"/>
        <v>ΠΕΛΟΠΟΝΝΗΣΟΥ - ΣΙΚΥΩΝΙΩΝ</v>
      </c>
      <c r="N136" s="204">
        <f t="shared" si="19"/>
        <v>14464</v>
      </c>
      <c r="O136" s="204" t="str">
        <f t="shared" si="20"/>
        <v>Σικυωνίων</v>
      </c>
    </row>
    <row r="137" spans="1:15" x14ac:dyDescent="0.25">
      <c r="A137" s="206">
        <v>136</v>
      </c>
      <c r="B137" t="s">
        <v>407</v>
      </c>
      <c r="C137" t="s">
        <v>378</v>
      </c>
      <c r="D137" t="s">
        <v>173</v>
      </c>
      <c r="E137" t="str">
        <f t="shared" si="14"/>
        <v xml:space="preserve">ΗΠΕΙΡΟΥ - ΗΓΟΥΜΕΝΙΤΣΑΣ, </v>
      </c>
      <c r="F137" s="232" t="s">
        <v>710</v>
      </c>
      <c r="G137" s="232">
        <v>14120</v>
      </c>
      <c r="H137" t="str">
        <f>IFERROR(INDEX(DimosNaiOxi,MATCH(ΤΚ!E137,DimosNai,0)),"")</f>
        <v/>
      </c>
      <c r="I137" t="str">
        <f>LOOKUP(B137,ΠΕΡΙΦΕΡΕΙΑ!$A$2:$A$14,ΠΕΡΙΦΕΡΕΙΑ!$B$2:$B$14)</f>
        <v>Μερική</v>
      </c>
      <c r="J137" t="str">
        <f t="shared" si="18"/>
        <v/>
      </c>
      <c r="K137" s="206">
        <f t="shared" si="15"/>
        <v>298</v>
      </c>
      <c r="L137" t="str">
        <f t="shared" si="16"/>
        <v>ΠΕΛΟΠΟΝΝΗΣΟΥ</v>
      </c>
      <c r="M137" t="str">
        <f t="shared" si="17"/>
        <v>ΠΕΛΟΠΟΝΝΗΣΟΥ - ΣΠΑΡΤΗΣ</v>
      </c>
      <c r="N137" s="204">
        <f t="shared" si="19"/>
        <v>14482</v>
      </c>
      <c r="O137" s="204" t="str">
        <f t="shared" si="20"/>
        <v>Σπάρτης</v>
      </c>
    </row>
    <row r="138" spans="1:15" x14ac:dyDescent="0.25">
      <c r="A138" s="206">
        <v>137</v>
      </c>
      <c r="B138" t="s">
        <v>407</v>
      </c>
      <c r="C138" t="s">
        <v>379</v>
      </c>
      <c r="D138" t="s">
        <v>180</v>
      </c>
      <c r="E138" t="str">
        <f t="shared" si="14"/>
        <v xml:space="preserve">ΗΠΕΙΡΟΥ - ΙΩΑΝΝΙΤΩΝ, </v>
      </c>
      <c r="F138" s="232" t="s">
        <v>711</v>
      </c>
      <c r="G138" s="232">
        <v>14158</v>
      </c>
      <c r="H138" t="str">
        <f>IFERROR(INDEX(DimosNaiOxi,MATCH(ΤΚ!E138,DimosNai,0)),"")</f>
        <v>ΝΑΙ</v>
      </c>
      <c r="I138" t="str">
        <f>LOOKUP(B138,ΠΕΡΙΦΕΡΕΙΑ!$A$2:$A$14,ΠΕΡΙΦΕΡΕΙΑ!$B$2:$B$14)</f>
        <v>Μερική</v>
      </c>
      <c r="J138">
        <f t="shared" si="18"/>
        <v>137</v>
      </c>
      <c r="K138" s="206">
        <f t="shared" si="15"/>
        <v>299</v>
      </c>
      <c r="L138" t="str">
        <f t="shared" si="16"/>
        <v>ΠΕΛΟΠΟΝΝΗΣΟΥ</v>
      </c>
      <c r="M138" t="str">
        <f t="shared" si="17"/>
        <v>ΠΕΛΟΠΟΝΝΗΣΟΥ - ΤΡΙΠΟΛΗΣ</v>
      </c>
      <c r="N138" s="204">
        <f t="shared" si="19"/>
        <v>14502</v>
      </c>
      <c r="O138" s="204" t="str">
        <f t="shared" si="20"/>
        <v>Τρίπολης</v>
      </c>
    </row>
    <row r="139" spans="1:15" x14ac:dyDescent="0.25">
      <c r="A139" s="206">
        <v>138</v>
      </c>
      <c r="B139" t="s">
        <v>407</v>
      </c>
      <c r="C139" t="s">
        <v>377</v>
      </c>
      <c r="D139" t="s">
        <v>171</v>
      </c>
      <c r="E139" t="str">
        <f t="shared" si="14"/>
        <v xml:space="preserve">ΗΠΕΙΡΟΥ - ΚΕΝΤΡΙΚΩΝ ΤΖΟΥΜΕΡΚΩΝ, </v>
      </c>
      <c r="F139" s="232" t="s">
        <v>712</v>
      </c>
      <c r="G139" s="232">
        <v>14206</v>
      </c>
      <c r="H139" t="str">
        <f>IFERROR(INDEX(DimosNaiOxi,MATCH(ΤΚ!E139,DimosNai,0)),"")</f>
        <v/>
      </c>
      <c r="I139" t="str">
        <f>LOOKUP(B139,ΠΕΡΙΦΕΡΕΙΑ!$A$2:$A$14,ΠΕΡΙΦΕΡΕΙΑ!$B$2:$B$14)</f>
        <v>Μερική</v>
      </c>
      <c r="J139" t="str">
        <f t="shared" si="18"/>
        <v/>
      </c>
      <c r="K139" s="206">
        <f t="shared" si="15"/>
        <v>315</v>
      </c>
      <c r="L139" t="str">
        <f t="shared" si="16"/>
        <v>ΣΤΕΡΕΑΣ ΕΛΛΑΔΑΣ</v>
      </c>
      <c r="M139" t="str">
        <f t="shared" si="17"/>
        <v>ΣΤΕΡΕΑΣ ΕΛΛΑΔΑΣ - ΛΑΜΙΕΩΝ</v>
      </c>
      <c r="N139" s="204">
        <f t="shared" si="19"/>
        <v>14248</v>
      </c>
      <c r="O139" s="204" t="str">
        <f t="shared" si="20"/>
        <v>Λαμιέων</v>
      </c>
    </row>
    <row r="140" spans="1:15" x14ac:dyDescent="0.25">
      <c r="A140" s="206">
        <v>139</v>
      </c>
      <c r="B140" t="s">
        <v>407</v>
      </c>
      <c r="C140" t="s">
        <v>379</v>
      </c>
      <c r="D140" t="s">
        <v>181</v>
      </c>
      <c r="E140" t="str">
        <f t="shared" si="14"/>
        <v xml:space="preserve">ΗΠΕΙΡΟΥ - ΚΟΝΙΤΣΑΣ, </v>
      </c>
      <c r="F140" s="232" t="s">
        <v>713</v>
      </c>
      <c r="G140" s="232">
        <v>14168</v>
      </c>
      <c r="H140" t="str">
        <f>IFERROR(INDEX(DimosNaiOxi,MATCH(ΤΚ!E140,DimosNai,0)),"")</f>
        <v/>
      </c>
      <c r="I140" t="str">
        <f>LOOKUP(B140,ΠΕΡΙΦΕΡΕΙΑ!$A$2:$A$14,ΠΕΡΙΦΕΡΕΙΑ!$B$2:$B$14)</f>
        <v>Μερική</v>
      </c>
      <c r="J140" t="str">
        <f t="shared" si="18"/>
        <v/>
      </c>
      <c r="K140" s="206">
        <f t="shared" si="15"/>
        <v>325</v>
      </c>
      <c r="L140" t="str">
        <f t="shared" si="16"/>
        <v>ΣΤΕΡΕΑΣ ΕΛΛΑΔΑΣ</v>
      </c>
      <c r="M140" t="str">
        <f t="shared" si="17"/>
        <v>ΣΤΕΡΕΑΣ ΕΛΛΑΔΑΣ - ΧΑΛΚΙΔΕΩΝ</v>
      </c>
      <c r="N140" s="204">
        <f t="shared" si="19"/>
        <v>14540</v>
      </c>
      <c r="O140" s="204" t="str">
        <f t="shared" si="20"/>
        <v>Χαλκιδέων</v>
      </c>
    </row>
    <row r="141" spans="1:15" x14ac:dyDescent="0.25">
      <c r="A141" s="206">
        <v>140</v>
      </c>
      <c r="B141" t="s">
        <v>407</v>
      </c>
      <c r="C141" t="s">
        <v>379</v>
      </c>
      <c r="D141" t="s">
        <v>182</v>
      </c>
      <c r="E141" t="str">
        <f t="shared" si="14"/>
        <v xml:space="preserve">ΗΠΕΙΡΟΥ - ΜΕΤΣΟΒΟΥ, </v>
      </c>
      <c r="F141" s="232" t="s">
        <v>714</v>
      </c>
      <c r="G141" s="232">
        <v>14298</v>
      </c>
      <c r="H141" t="str">
        <f>IFERROR(INDEX(DimosNaiOxi,MATCH(ΤΚ!E141,DimosNai,0)),"")</f>
        <v>ΝΑΙ</v>
      </c>
      <c r="I141" t="str">
        <f>LOOKUP(B141,ΠΕΡΙΦΕΡΕΙΑ!$A$2:$A$14,ΠΕΡΙΦΕΡΕΙΑ!$B$2:$B$14)</f>
        <v>Μερική</v>
      </c>
      <c r="J141">
        <f t="shared" si="18"/>
        <v>140</v>
      </c>
      <c r="K141" s="206" t="e">
        <f t="shared" si="15"/>
        <v>#NUM!</v>
      </c>
      <c r="L141" t="str">
        <f t="shared" si="16"/>
        <v/>
      </c>
      <c r="M141" t="str">
        <f t="shared" si="17"/>
        <v/>
      </c>
      <c r="N141" s="204" t="str">
        <f t="shared" si="19"/>
        <v/>
      </c>
      <c r="O141" s="204" t="str">
        <f t="shared" si="20"/>
        <v/>
      </c>
    </row>
    <row r="142" spans="1:15" x14ac:dyDescent="0.25">
      <c r="A142" s="206">
        <v>141</v>
      </c>
      <c r="B142" t="s">
        <v>407</v>
      </c>
      <c r="C142" t="s">
        <v>377</v>
      </c>
      <c r="D142" t="s">
        <v>172</v>
      </c>
      <c r="E142" t="str">
        <f t="shared" si="14"/>
        <v xml:space="preserve">ΗΠΕΙΡΟΥ - ΝΙΚΟΛΑΟΥ ΣΚΟΥΦΑ, </v>
      </c>
      <c r="F142" s="232" t="s">
        <v>715</v>
      </c>
      <c r="G142" s="232">
        <v>14340</v>
      </c>
      <c r="H142" t="str">
        <f>IFERROR(INDEX(DimosNaiOxi,MATCH(ΤΚ!E142,DimosNai,0)),"")</f>
        <v/>
      </c>
      <c r="I142" t="str">
        <f>LOOKUP(B142,ΠΕΡΙΦΕΡΕΙΑ!$A$2:$A$14,ΠΕΡΙΦΕΡΕΙΑ!$B$2:$B$14)</f>
        <v>Μερική</v>
      </c>
      <c r="J142" t="str">
        <f t="shared" si="18"/>
        <v/>
      </c>
      <c r="K142" s="206" t="e">
        <f t="shared" si="15"/>
        <v>#NUM!</v>
      </c>
      <c r="L142" t="str">
        <f t="shared" si="16"/>
        <v/>
      </c>
      <c r="M142" t="str">
        <f t="shared" si="17"/>
        <v/>
      </c>
      <c r="N142" s="204" t="str">
        <f t="shared" si="19"/>
        <v/>
      </c>
      <c r="O142" s="204" t="str">
        <f t="shared" si="20"/>
        <v/>
      </c>
    </row>
    <row r="143" spans="1:15" x14ac:dyDescent="0.25">
      <c r="A143" s="206">
        <v>142</v>
      </c>
      <c r="B143" t="s">
        <v>407</v>
      </c>
      <c r="C143" t="s">
        <v>186</v>
      </c>
      <c r="D143" t="s">
        <v>185</v>
      </c>
      <c r="E143" t="str">
        <f t="shared" si="14"/>
        <v xml:space="preserve">ΗΠΕΙΡΟΥ - ΠΑΡΓΑΣ, </v>
      </c>
      <c r="F143" s="232" t="s">
        <v>716</v>
      </c>
      <c r="G143" s="232">
        <v>14364</v>
      </c>
      <c r="H143" t="str">
        <f>IFERROR(INDEX(DimosNaiOxi,MATCH(ΤΚ!E143,DimosNai,0)),"")</f>
        <v/>
      </c>
      <c r="I143" t="str">
        <f>LOOKUP(B143,ΠΕΡΙΦΕΡΕΙΑ!$A$2:$A$14,ΠΕΡΙΦΕΡΕΙΑ!$B$2:$B$14)</f>
        <v>Μερική</v>
      </c>
      <c r="J143" t="str">
        <f t="shared" si="18"/>
        <v/>
      </c>
      <c r="K143" s="206" t="e">
        <f t="shared" si="15"/>
        <v>#NUM!</v>
      </c>
      <c r="L143" t="str">
        <f t="shared" si="16"/>
        <v/>
      </c>
      <c r="M143" t="str">
        <f t="shared" si="17"/>
        <v/>
      </c>
      <c r="N143" s="204" t="str">
        <f t="shared" si="19"/>
        <v/>
      </c>
      <c r="O143" s="204" t="str">
        <f t="shared" si="20"/>
        <v/>
      </c>
    </row>
    <row r="144" spans="1:15" x14ac:dyDescent="0.25">
      <c r="A144" s="206">
        <v>143</v>
      </c>
      <c r="B144" t="s">
        <v>407</v>
      </c>
      <c r="C144" t="s">
        <v>186</v>
      </c>
      <c r="D144" t="s">
        <v>186</v>
      </c>
      <c r="E144" t="str">
        <f t="shared" si="14"/>
        <v xml:space="preserve">ΗΠΕΙΡΟΥ - ΠΡΕΒΕΖΑΣ, </v>
      </c>
      <c r="F144" s="232" t="s">
        <v>717</v>
      </c>
      <c r="G144" s="232">
        <v>14420</v>
      </c>
      <c r="H144" t="str">
        <f>IFERROR(INDEX(DimosNaiOxi,MATCH(ΤΚ!E144,DimosNai,0)),"")</f>
        <v>ΝΑΙ</v>
      </c>
      <c r="I144" t="str">
        <f>LOOKUP(B144,ΠΕΡΙΦΕΡΕΙΑ!$A$2:$A$14,ΠΕΡΙΦΕΡΕΙΑ!$B$2:$B$14)</f>
        <v>Μερική</v>
      </c>
      <c r="J144">
        <f t="shared" si="18"/>
        <v>143</v>
      </c>
      <c r="K144" s="206" t="e">
        <f t="shared" si="15"/>
        <v>#NUM!</v>
      </c>
      <c r="L144" t="str">
        <f t="shared" si="16"/>
        <v/>
      </c>
      <c r="M144" t="str">
        <f t="shared" si="17"/>
        <v/>
      </c>
      <c r="N144" s="204" t="str">
        <f t="shared" si="19"/>
        <v/>
      </c>
      <c r="O144" s="204" t="str">
        <f t="shared" si="20"/>
        <v/>
      </c>
    </row>
    <row r="145" spans="1:15" x14ac:dyDescent="0.25">
      <c r="A145" s="206">
        <v>144</v>
      </c>
      <c r="B145" t="s">
        <v>407</v>
      </c>
      <c r="C145" t="s">
        <v>379</v>
      </c>
      <c r="D145" t="s">
        <v>183</v>
      </c>
      <c r="E145" t="str">
        <f t="shared" si="14"/>
        <v xml:space="preserve">ΗΠΕΙΡΟΥ - ΠΩΓΩΝΙΟΥ, </v>
      </c>
      <c r="F145" s="232" t="s">
        <v>718</v>
      </c>
      <c r="G145" s="232">
        <v>14428</v>
      </c>
      <c r="H145" t="str">
        <f>IFERROR(INDEX(DimosNaiOxi,MATCH(ΤΚ!E145,DimosNai,0)),"")</f>
        <v/>
      </c>
      <c r="I145" t="str">
        <f>LOOKUP(B145,ΠΕΡΙΦΕΡΕΙΑ!$A$2:$A$14,ΠΕΡΙΦΕΡΕΙΑ!$B$2:$B$14)</f>
        <v>Μερική</v>
      </c>
      <c r="J145" t="str">
        <f t="shared" si="18"/>
        <v/>
      </c>
      <c r="K145" s="206" t="e">
        <f t="shared" si="15"/>
        <v>#NUM!</v>
      </c>
      <c r="L145" t="str">
        <f t="shared" si="16"/>
        <v/>
      </c>
      <c r="M145" t="str">
        <f t="shared" si="17"/>
        <v/>
      </c>
      <c r="N145" s="204" t="str">
        <f t="shared" si="19"/>
        <v/>
      </c>
      <c r="O145" s="204" t="str">
        <f t="shared" si="20"/>
        <v/>
      </c>
    </row>
    <row r="146" spans="1:15" x14ac:dyDescent="0.25">
      <c r="A146" s="206">
        <v>145</v>
      </c>
      <c r="B146" t="s">
        <v>407</v>
      </c>
      <c r="C146" t="s">
        <v>378</v>
      </c>
      <c r="D146" t="s">
        <v>174</v>
      </c>
      <c r="E146" t="str">
        <f t="shared" si="14"/>
        <v xml:space="preserve">ΗΠΕΙΡΟΥ - ΣΟΥΛΙΟΥ, </v>
      </c>
      <c r="F146" s="232" t="s">
        <v>719</v>
      </c>
      <c r="G146" s="232">
        <v>14476</v>
      </c>
      <c r="H146" t="str">
        <f>IFERROR(INDEX(DimosNaiOxi,MATCH(ΤΚ!E146,DimosNai,0)),"")</f>
        <v/>
      </c>
      <c r="I146" t="str">
        <f>LOOKUP(B146,ΠΕΡΙΦΕΡΕΙΑ!$A$2:$A$14,ΠΕΡΙΦΕΡΕΙΑ!$B$2:$B$14)</f>
        <v>Μερική</v>
      </c>
      <c r="J146" t="str">
        <f t="shared" si="18"/>
        <v/>
      </c>
      <c r="K146" s="206" t="e">
        <f t="shared" si="15"/>
        <v>#NUM!</v>
      </c>
      <c r="L146" t="str">
        <f t="shared" si="16"/>
        <v/>
      </c>
      <c r="M146" t="str">
        <f t="shared" si="17"/>
        <v/>
      </c>
      <c r="N146" s="204" t="str">
        <f t="shared" si="19"/>
        <v/>
      </c>
      <c r="O146" s="204" t="str">
        <f t="shared" si="20"/>
        <v/>
      </c>
    </row>
    <row r="147" spans="1:15" x14ac:dyDescent="0.25">
      <c r="A147" s="206">
        <v>146</v>
      </c>
      <c r="B147" t="s">
        <v>407</v>
      </c>
      <c r="C147" t="s">
        <v>378</v>
      </c>
      <c r="D147" t="s">
        <v>175</v>
      </c>
      <c r="E147" t="str">
        <f t="shared" si="14"/>
        <v xml:space="preserve">ΗΠΕΙΡΟΥ - ΦΙΛΙΑΤΩΝ, </v>
      </c>
      <c r="F147" s="232" t="s">
        <v>720</v>
      </c>
      <c r="G147" s="232">
        <v>14520</v>
      </c>
      <c r="H147" t="str">
        <f>IFERROR(INDEX(DimosNaiOxi,MATCH(ΤΚ!E147,DimosNai,0)),"")</f>
        <v/>
      </c>
      <c r="I147" t="str">
        <f>LOOKUP(B147,ΠΕΡΙΦΕΡΕΙΑ!$A$2:$A$14,ΠΕΡΙΦΕΡΕΙΑ!$B$2:$B$14)</f>
        <v>Μερική</v>
      </c>
      <c r="J147" t="str">
        <f t="shared" si="18"/>
        <v/>
      </c>
      <c r="K147" s="206" t="e">
        <f t="shared" si="15"/>
        <v>#NUM!</v>
      </c>
      <c r="L147" t="str">
        <f t="shared" si="16"/>
        <v/>
      </c>
      <c r="M147" t="str">
        <f t="shared" si="17"/>
        <v/>
      </c>
      <c r="N147" s="204" t="str">
        <f t="shared" si="19"/>
        <v/>
      </c>
      <c r="O147" s="204" t="str">
        <f t="shared" si="20"/>
        <v/>
      </c>
    </row>
    <row r="148" spans="1:15" x14ac:dyDescent="0.25">
      <c r="A148" s="206">
        <v>147</v>
      </c>
      <c r="B148" t="s">
        <v>408</v>
      </c>
      <c r="C148" t="s">
        <v>380</v>
      </c>
      <c r="D148" t="s">
        <v>193</v>
      </c>
      <c r="E148" t="str">
        <f t="shared" si="14"/>
        <v xml:space="preserve">ΘΕΣΣΑΛΙΑΣ - ΑΓΙΑΣ, </v>
      </c>
      <c r="F148" s="232" t="s">
        <v>721</v>
      </c>
      <c r="G148" s="232">
        <v>13938</v>
      </c>
      <c r="H148" t="str">
        <f>IFERROR(INDEX(DimosNaiOxi,MATCH(ΤΚ!E148,DimosNai,0)),"")</f>
        <v/>
      </c>
      <c r="I148" t="str">
        <f>LOOKUP(B148,ΠΕΡΙΦΕΡΕΙΑ!$A$2:$A$14,ΠΕΡΙΦΕΡΕΙΑ!$B$2:$B$14)</f>
        <v>Μερική</v>
      </c>
      <c r="J148" t="str">
        <f t="shared" si="18"/>
        <v/>
      </c>
      <c r="K148" s="206" t="e">
        <f t="shared" si="15"/>
        <v>#NUM!</v>
      </c>
      <c r="L148" t="str">
        <f t="shared" si="16"/>
        <v/>
      </c>
      <c r="M148" t="str">
        <f t="shared" si="17"/>
        <v/>
      </c>
      <c r="N148" s="204" t="str">
        <f t="shared" si="19"/>
        <v/>
      </c>
      <c r="O148" s="204" t="str">
        <f t="shared" si="20"/>
        <v/>
      </c>
    </row>
    <row r="149" spans="1:15" x14ac:dyDescent="0.25">
      <c r="A149" s="206">
        <v>148</v>
      </c>
      <c r="B149" t="s">
        <v>408</v>
      </c>
      <c r="C149" t="s">
        <v>381</v>
      </c>
      <c r="D149" t="s">
        <v>200</v>
      </c>
      <c r="E149" t="str">
        <f t="shared" si="14"/>
        <v xml:space="preserve">ΘΕΣΣΑΛΙΑΣ - ΑΛΜΥΡΟΥ, </v>
      </c>
      <c r="F149" s="232" t="s">
        <v>722</v>
      </c>
      <c r="G149" s="232">
        <v>13960</v>
      </c>
      <c r="H149" t="str">
        <f>IFERROR(INDEX(DimosNaiOxi,MATCH(ΤΚ!E149,DimosNai,0)),"")</f>
        <v/>
      </c>
      <c r="I149" t="str">
        <f>LOOKUP(B149,ΠΕΡΙΦΕΡΕΙΑ!$A$2:$A$14,ΠΕΡΙΦΕΡΕΙΑ!$B$2:$B$14)</f>
        <v>Μερική</v>
      </c>
      <c r="J149" t="str">
        <f t="shared" si="18"/>
        <v/>
      </c>
      <c r="K149" s="206" t="e">
        <f t="shared" si="15"/>
        <v>#NUM!</v>
      </c>
      <c r="L149" t="str">
        <f t="shared" si="16"/>
        <v/>
      </c>
      <c r="M149" t="str">
        <f t="shared" si="17"/>
        <v/>
      </c>
      <c r="N149" s="204" t="str">
        <f t="shared" si="19"/>
        <v/>
      </c>
      <c r="O149" s="204" t="str">
        <f t="shared" si="20"/>
        <v/>
      </c>
    </row>
    <row r="150" spans="1:15" x14ac:dyDescent="0.25">
      <c r="A150" s="206">
        <v>149</v>
      </c>
      <c r="B150" t="s">
        <v>408</v>
      </c>
      <c r="C150" t="s">
        <v>382</v>
      </c>
      <c r="D150" t="s">
        <v>205</v>
      </c>
      <c r="E150" t="str">
        <f t="shared" si="14"/>
        <v xml:space="preserve">ΘΕΣΣΑΛΙΑΣ - ΑΛΟΝΝΗΣΟΥ, </v>
      </c>
      <c r="F150" s="232" t="s">
        <v>723</v>
      </c>
      <c r="G150" s="232">
        <v>13964</v>
      </c>
      <c r="H150" t="str">
        <f>IFERROR(INDEX(DimosNaiOxi,MATCH(ΤΚ!E150,DimosNai,0)),"")</f>
        <v/>
      </c>
      <c r="I150" t="str">
        <f>LOOKUP(B150,ΠΕΡΙΦΕΡΕΙΑ!$A$2:$A$14,ΠΕΡΙΦΕΡΕΙΑ!$B$2:$B$14)</f>
        <v>Μερική</v>
      </c>
      <c r="J150" t="str">
        <f t="shared" si="18"/>
        <v/>
      </c>
      <c r="K150" s="206" t="e">
        <f t="shared" si="15"/>
        <v>#NUM!</v>
      </c>
      <c r="L150" t="str">
        <f t="shared" si="16"/>
        <v/>
      </c>
      <c r="M150" t="str">
        <f t="shared" si="17"/>
        <v/>
      </c>
      <c r="N150" s="204" t="str">
        <f t="shared" si="19"/>
        <v/>
      </c>
      <c r="O150" s="204" t="str">
        <f t="shared" si="20"/>
        <v/>
      </c>
    </row>
    <row r="151" spans="1:15" x14ac:dyDescent="0.25">
      <c r="A151" s="206">
        <v>150</v>
      </c>
      <c r="B151" t="s">
        <v>408</v>
      </c>
      <c r="C151" t="s">
        <v>188</v>
      </c>
      <c r="D151" t="s">
        <v>187</v>
      </c>
      <c r="E151" t="str">
        <f t="shared" si="14"/>
        <v xml:space="preserve">ΘΕΣΣΑΛΙΑΣ - ΑΡΓΙΘΕΑΣ, </v>
      </c>
      <c r="F151" s="232" t="s">
        <v>724</v>
      </c>
      <c r="G151" s="232">
        <v>13996</v>
      </c>
      <c r="H151" t="str">
        <f>IFERROR(INDEX(DimosNaiOxi,MATCH(ΤΚ!E151,DimosNai,0)),"")</f>
        <v/>
      </c>
      <c r="I151" t="str">
        <f>LOOKUP(B151,ΠΕΡΙΦΕΡΕΙΑ!$A$2:$A$14,ΠΕΡΙΦΕΡΕΙΑ!$B$2:$B$14)</f>
        <v>Μερική</v>
      </c>
      <c r="J151" t="str">
        <f t="shared" si="18"/>
        <v/>
      </c>
      <c r="K151" s="206" t="e">
        <f t="shared" si="15"/>
        <v>#NUM!</v>
      </c>
      <c r="L151" t="str">
        <f t="shared" si="16"/>
        <v/>
      </c>
      <c r="M151" t="str">
        <f t="shared" si="17"/>
        <v/>
      </c>
      <c r="N151" s="204" t="str">
        <f t="shared" si="19"/>
        <v/>
      </c>
      <c r="O151" s="204" t="str">
        <f t="shared" si="20"/>
        <v/>
      </c>
    </row>
    <row r="152" spans="1:15" x14ac:dyDescent="0.25">
      <c r="A152" s="206">
        <v>151</v>
      </c>
      <c r="B152" t="s">
        <v>408</v>
      </c>
      <c r="C152" t="s">
        <v>381</v>
      </c>
      <c r="D152" t="s">
        <v>201</v>
      </c>
      <c r="E152" t="str">
        <f t="shared" si="14"/>
        <v xml:space="preserve">ΘΕΣΣΑΛΙΑΣ - ΒΟΛΟΥ, </v>
      </c>
      <c r="F152" s="232" t="s">
        <v>725</v>
      </c>
      <c r="G152" s="232">
        <v>14022</v>
      </c>
      <c r="H152" t="str">
        <f>IFERROR(INDEX(DimosNaiOxi,MATCH(ΤΚ!E152,DimosNai,0)),"")</f>
        <v>ΝΑΙ</v>
      </c>
      <c r="I152" t="str">
        <f>LOOKUP(B152,ΠΕΡΙΦΕΡΕΙΑ!$A$2:$A$14,ΠΕΡΙΦΕΡΕΙΑ!$B$2:$B$14)</f>
        <v>Μερική</v>
      </c>
      <c r="J152">
        <f t="shared" si="18"/>
        <v>151</v>
      </c>
      <c r="K152" s="206" t="e">
        <f t="shared" si="15"/>
        <v>#NUM!</v>
      </c>
      <c r="L152" t="str">
        <f t="shared" si="16"/>
        <v/>
      </c>
      <c r="M152" t="str">
        <f t="shared" si="17"/>
        <v/>
      </c>
      <c r="N152" s="204" t="str">
        <f t="shared" si="19"/>
        <v/>
      </c>
      <c r="O152" s="204" t="str">
        <f t="shared" si="20"/>
        <v/>
      </c>
    </row>
    <row r="153" spans="1:15" x14ac:dyDescent="0.25">
      <c r="A153" s="206">
        <v>152</v>
      </c>
      <c r="B153" t="s">
        <v>408</v>
      </c>
      <c r="C153" t="s">
        <v>380</v>
      </c>
      <c r="D153" t="s">
        <v>194</v>
      </c>
      <c r="E153" t="str">
        <f t="shared" si="14"/>
        <v xml:space="preserve">ΘΕΣΣΑΛΙΑΣ - ΕΛΑΣΣΟΝΑΣ, </v>
      </c>
      <c r="F153" s="232" t="s">
        <v>726</v>
      </c>
      <c r="G153" s="232">
        <v>14084</v>
      </c>
      <c r="H153" t="str">
        <f>IFERROR(INDEX(DimosNaiOxi,MATCH(ΤΚ!E153,DimosNai,0)),"")</f>
        <v/>
      </c>
      <c r="I153" t="str">
        <f>LOOKUP(B153,ΠΕΡΙΦΕΡΕΙΑ!$A$2:$A$14,ΠΕΡΙΦΕΡΕΙΑ!$B$2:$B$14)</f>
        <v>Μερική</v>
      </c>
      <c r="J153" t="str">
        <f t="shared" si="18"/>
        <v/>
      </c>
      <c r="K153" s="206" t="e">
        <f t="shared" si="15"/>
        <v>#NUM!</v>
      </c>
      <c r="L153" t="str">
        <f t="shared" si="16"/>
        <v/>
      </c>
      <c r="M153" t="str">
        <f t="shared" si="17"/>
        <v/>
      </c>
      <c r="N153" s="204" t="str">
        <f t="shared" si="19"/>
        <v/>
      </c>
      <c r="O153" s="204" t="str">
        <f t="shared" si="20"/>
        <v/>
      </c>
    </row>
    <row r="154" spans="1:15" x14ac:dyDescent="0.25">
      <c r="A154" s="206">
        <v>153</v>
      </c>
      <c r="B154" t="s">
        <v>408</v>
      </c>
      <c r="C154" t="s">
        <v>381</v>
      </c>
      <c r="D154" t="s">
        <v>202</v>
      </c>
      <c r="E154" t="str">
        <f t="shared" si="14"/>
        <v xml:space="preserve">ΘΕΣΣΑΛΙΑΣ - ΖΑΓΟΡΑΣ – ΜΟΥΡΕΣΙΟΥ, </v>
      </c>
      <c r="F154" s="232" t="s">
        <v>727</v>
      </c>
      <c r="G154" s="232">
        <v>14108</v>
      </c>
      <c r="H154" t="str">
        <f>IFERROR(INDEX(DimosNaiOxi,MATCH(ΤΚ!E154,DimosNai,0)),"")</f>
        <v/>
      </c>
      <c r="I154" t="str">
        <f>LOOKUP(B154,ΠΕΡΙΦΕΡΕΙΑ!$A$2:$A$14,ΠΕΡΙΦΕΡΕΙΑ!$B$2:$B$14)</f>
        <v>Μερική</v>
      </c>
      <c r="J154" t="str">
        <f t="shared" si="18"/>
        <v/>
      </c>
      <c r="K154" s="206" t="e">
        <f t="shared" si="15"/>
        <v>#NUM!</v>
      </c>
      <c r="L154" t="str">
        <f t="shared" si="16"/>
        <v/>
      </c>
      <c r="M154" t="str">
        <f t="shared" si="17"/>
        <v/>
      </c>
      <c r="N154" s="204" t="str">
        <f t="shared" si="19"/>
        <v/>
      </c>
      <c r="O154" s="204" t="str">
        <f t="shared" si="20"/>
        <v/>
      </c>
    </row>
    <row r="155" spans="1:15" x14ac:dyDescent="0.25">
      <c r="A155" s="206">
        <v>154</v>
      </c>
      <c r="B155" t="s">
        <v>408</v>
      </c>
      <c r="C155" t="s">
        <v>383</v>
      </c>
      <c r="D155" t="s">
        <v>208</v>
      </c>
      <c r="E155" t="str">
        <f t="shared" si="14"/>
        <v xml:space="preserve">ΘΕΣΣΑΛΙΑΣ - ΚΑΛΑΜΠΑΚΑΣ, </v>
      </c>
      <c r="F155" s="232" t="s">
        <v>728</v>
      </c>
      <c r="G155" s="232">
        <v>14184</v>
      </c>
      <c r="H155" t="str">
        <f>IFERROR(INDEX(DimosNaiOxi,MATCH(ΤΚ!E155,DimosNai,0)),"")</f>
        <v/>
      </c>
      <c r="I155" t="str">
        <f>LOOKUP(B155,ΠΕΡΙΦΕΡΕΙΑ!$A$2:$A$14,ΠΕΡΙΦΕΡΕΙΑ!$B$2:$B$14)</f>
        <v>Μερική</v>
      </c>
      <c r="J155" t="str">
        <f t="shared" si="18"/>
        <v/>
      </c>
      <c r="K155" s="206" t="e">
        <f t="shared" si="15"/>
        <v>#NUM!</v>
      </c>
      <c r="L155" t="str">
        <f t="shared" si="16"/>
        <v/>
      </c>
      <c r="M155" t="str">
        <f t="shared" si="17"/>
        <v/>
      </c>
      <c r="N155" s="204" t="str">
        <f t="shared" si="19"/>
        <v/>
      </c>
      <c r="O155" s="204" t="str">
        <f t="shared" si="20"/>
        <v/>
      </c>
    </row>
    <row r="156" spans="1:15" x14ac:dyDescent="0.25">
      <c r="A156" s="206">
        <v>155</v>
      </c>
      <c r="B156" t="s">
        <v>408</v>
      </c>
      <c r="C156" t="s">
        <v>188</v>
      </c>
      <c r="D156" t="s">
        <v>188</v>
      </c>
      <c r="E156" t="str">
        <f t="shared" si="14"/>
        <v xml:space="preserve">ΘΕΣΣΑΛΙΑΣ - ΚΑΡΔΙΤΣΑΣ, </v>
      </c>
      <c r="F156" s="232" t="s">
        <v>729</v>
      </c>
      <c r="G156" s="232">
        <v>14194</v>
      </c>
      <c r="H156" t="str">
        <f>IFERROR(INDEX(DimosNaiOxi,MATCH(ΤΚ!E156,DimosNai,0)),"")</f>
        <v>ΝΑΙ</v>
      </c>
      <c r="I156" t="str">
        <f>LOOKUP(B156,ΠΕΡΙΦΕΡΕΙΑ!$A$2:$A$14,ΠΕΡΙΦΕΡΕΙΑ!$B$2:$B$14)</f>
        <v>Μερική</v>
      </c>
      <c r="J156">
        <f t="shared" si="18"/>
        <v>155</v>
      </c>
      <c r="K156" s="206" t="e">
        <f t="shared" si="15"/>
        <v>#NUM!</v>
      </c>
      <c r="L156" t="str">
        <f t="shared" si="16"/>
        <v/>
      </c>
      <c r="M156" t="str">
        <f t="shared" si="17"/>
        <v/>
      </c>
      <c r="N156" s="204" t="str">
        <f t="shared" si="19"/>
        <v/>
      </c>
      <c r="O156" s="204" t="str">
        <f t="shared" si="20"/>
        <v/>
      </c>
    </row>
    <row r="157" spans="1:15" x14ac:dyDescent="0.25">
      <c r="A157" s="206">
        <v>156</v>
      </c>
      <c r="B157" t="s">
        <v>408</v>
      </c>
      <c r="C157" t="s">
        <v>380</v>
      </c>
      <c r="D157" t="s">
        <v>195</v>
      </c>
      <c r="E157" t="str">
        <f t="shared" si="14"/>
        <v xml:space="preserve">ΘΕΣΣΑΛΙΑΣ - ΚΙΛΕΛΕΡ, </v>
      </c>
      <c r="F157" s="232" t="s">
        <v>730</v>
      </c>
      <c r="G157" s="232">
        <v>14214</v>
      </c>
      <c r="H157" t="str">
        <f>IFERROR(INDEX(DimosNaiOxi,MATCH(ΤΚ!E157,DimosNai,0)),"")</f>
        <v/>
      </c>
      <c r="I157" t="str">
        <f>LOOKUP(B157,ΠΕΡΙΦΕΡΕΙΑ!$A$2:$A$14,ΠΕΡΙΦΕΡΕΙΑ!$B$2:$B$14)</f>
        <v>Μερική</v>
      </c>
      <c r="J157" t="str">
        <f t="shared" si="18"/>
        <v/>
      </c>
      <c r="K157" s="206" t="e">
        <f t="shared" si="15"/>
        <v>#NUM!</v>
      </c>
      <c r="L157" t="str">
        <f t="shared" si="16"/>
        <v/>
      </c>
      <c r="M157" t="str">
        <f t="shared" si="17"/>
        <v/>
      </c>
      <c r="N157" s="204" t="str">
        <f t="shared" si="19"/>
        <v/>
      </c>
      <c r="O157" s="204" t="str">
        <f t="shared" si="20"/>
        <v/>
      </c>
    </row>
    <row r="158" spans="1:15" x14ac:dyDescent="0.25">
      <c r="A158" s="206">
        <v>157</v>
      </c>
      <c r="B158" t="s">
        <v>408</v>
      </c>
      <c r="C158" t="s">
        <v>380</v>
      </c>
      <c r="D158" t="s">
        <v>196</v>
      </c>
      <c r="E158" t="str">
        <f t="shared" si="14"/>
        <v xml:space="preserve">ΘΕΣΣΑΛΙΑΣ - ΛΑΡΙΣΑΙΩΝ, </v>
      </c>
      <c r="F158" s="232" t="s">
        <v>731</v>
      </c>
      <c r="G158" s="232">
        <v>14250</v>
      </c>
      <c r="H158" t="str">
        <f>IFERROR(INDEX(DimosNaiOxi,MATCH(ΤΚ!E158,DimosNai,0)),"")</f>
        <v>ΝΑΙ</v>
      </c>
      <c r="I158" t="str">
        <f>LOOKUP(B158,ΠΕΡΙΦΕΡΕΙΑ!$A$2:$A$14,ΠΕΡΙΦΕΡΕΙΑ!$B$2:$B$14)</f>
        <v>Μερική</v>
      </c>
      <c r="J158">
        <f t="shared" si="18"/>
        <v>157</v>
      </c>
      <c r="K158" s="206" t="e">
        <f t="shared" si="15"/>
        <v>#NUM!</v>
      </c>
      <c r="L158" t="str">
        <f t="shared" si="16"/>
        <v/>
      </c>
      <c r="M158" t="str">
        <f t="shared" si="17"/>
        <v/>
      </c>
      <c r="N158" s="204" t="str">
        <f t="shared" si="19"/>
        <v/>
      </c>
      <c r="O158" s="204" t="str">
        <f t="shared" si="20"/>
        <v/>
      </c>
    </row>
    <row r="159" spans="1:15" x14ac:dyDescent="0.25">
      <c r="A159" s="206">
        <v>158</v>
      </c>
      <c r="B159" t="s">
        <v>408</v>
      </c>
      <c r="C159" t="s">
        <v>188</v>
      </c>
      <c r="D159" t="s">
        <v>189</v>
      </c>
      <c r="E159" t="str">
        <f t="shared" si="14"/>
        <v xml:space="preserve">ΘΕΣΣΑΛΙΑΣ - ΛΙΜΝΗΣ ΠΛΑΣΤΗΡΑ, </v>
      </c>
      <c r="F159" s="232" t="s">
        <v>732</v>
      </c>
      <c r="G159" s="232">
        <v>14244</v>
      </c>
      <c r="H159" t="str">
        <f>IFERROR(INDEX(DimosNaiOxi,MATCH(ΤΚ!E159,DimosNai,0)),"")</f>
        <v/>
      </c>
      <c r="I159" t="str">
        <f>LOOKUP(B159,ΠΕΡΙΦΕΡΕΙΑ!$A$2:$A$14,ΠΕΡΙΦΕΡΕΙΑ!$B$2:$B$14)</f>
        <v>Μερική</v>
      </c>
      <c r="J159" t="str">
        <f t="shared" si="18"/>
        <v/>
      </c>
      <c r="K159" s="206" t="e">
        <f t="shared" si="15"/>
        <v>#NUM!</v>
      </c>
      <c r="L159" t="str">
        <f t="shared" si="16"/>
        <v/>
      </c>
      <c r="M159" t="str">
        <f t="shared" si="17"/>
        <v/>
      </c>
      <c r="N159" s="204" t="str">
        <f t="shared" si="19"/>
        <v/>
      </c>
      <c r="O159" s="204" t="str">
        <f t="shared" si="20"/>
        <v/>
      </c>
    </row>
    <row r="160" spans="1:15" x14ac:dyDescent="0.25">
      <c r="A160" s="206">
        <v>159</v>
      </c>
      <c r="B160" t="s">
        <v>408</v>
      </c>
      <c r="C160" t="s">
        <v>188</v>
      </c>
      <c r="D160" t="s">
        <v>190</v>
      </c>
      <c r="E160" t="str">
        <f t="shared" si="14"/>
        <v xml:space="preserve">ΘΕΣΣΑΛΙΑΣ - ΜΟΥΖΑΚΙΟΥ, </v>
      </c>
      <c r="F160" s="232" t="s">
        <v>733</v>
      </c>
      <c r="G160" s="232">
        <v>14306</v>
      </c>
      <c r="H160" t="str">
        <f>IFERROR(INDEX(DimosNaiOxi,MATCH(ΤΚ!E160,DimosNai,0)),"")</f>
        <v/>
      </c>
      <c r="I160" t="str">
        <f>LOOKUP(B160,ΠΕΡΙΦΕΡΕΙΑ!$A$2:$A$14,ΠΕΡΙΦΕΡΕΙΑ!$B$2:$B$14)</f>
        <v>Μερική</v>
      </c>
      <c r="J160" t="str">
        <f t="shared" si="18"/>
        <v/>
      </c>
      <c r="K160" s="206" t="e">
        <f t="shared" si="15"/>
        <v>#NUM!</v>
      </c>
      <c r="L160" t="str">
        <f t="shared" si="16"/>
        <v/>
      </c>
      <c r="M160" t="str">
        <f t="shared" si="17"/>
        <v/>
      </c>
      <c r="N160" s="204" t="str">
        <f t="shared" si="19"/>
        <v/>
      </c>
      <c r="O160" s="204" t="str">
        <f t="shared" si="20"/>
        <v/>
      </c>
    </row>
    <row r="161" spans="1:15" x14ac:dyDescent="0.25">
      <c r="A161" s="206">
        <v>160</v>
      </c>
      <c r="B161" t="s">
        <v>408</v>
      </c>
      <c r="C161" t="s">
        <v>381</v>
      </c>
      <c r="D161" t="s">
        <v>203</v>
      </c>
      <c r="E161" t="str">
        <f t="shared" si="14"/>
        <v xml:space="preserve">ΘΕΣΣΑΛΙΑΣ - ΝΟΤΙΟΥ ΠΗΛΙΟΥ, </v>
      </c>
      <c r="F161" s="232" t="s">
        <v>734</v>
      </c>
      <c r="G161" s="232">
        <v>14344</v>
      </c>
      <c r="H161" t="str">
        <f>IFERROR(INDEX(DimosNaiOxi,MATCH(ΤΚ!E161,DimosNai,0)),"")</f>
        <v/>
      </c>
      <c r="I161" t="str">
        <f>LOOKUP(B161,ΠΕΡΙΦΕΡΕΙΑ!$A$2:$A$14,ΠΕΡΙΦΕΡΕΙΑ!$B$2:$B$14)</f>
        <v>Μερική</v>
      </c>
      <c r="J161" t="str">
        <f t="shared" si="18"/>
        <v/>
      </c>
      <c r="K161" s="206" t="e">
        <f t="shared" si="15"/>
        <v>#NUM!</v>
      </c>
      <c r="L161" t="str">
        <f t="shared" si="16"/>
        <v/>
      </c>
      <c r="M161" t="str">
        <f t="shared" si="17"/>
        <v/>
      </c>
      <c r="N161" s="204" t="str">
        <f t="shared" si="19"/>
        <v/>
      </c>
      <c r="O161" s="204" t="str">
        <f t="shared" si="20"/>
        <v/>
      </c>
    </row>
    <row r="162" spans="1:15" x14ac:dyDescent="0.25">
      <c r="A162" s="206">
        <v>161</v>
      </c>
      <c r="B162" t="s">
        <v>408</v>
      </c>
      <c r="C162" t="s">
        <v>188</v>
      </c>
      <c r="D162" t="s">
        <v>191</v>
      </c>
      <c r="E162" t="str">
        <f t="shared" si="14"/>
        <v xml:space="preserve">ΘΕΣΣΑΛΙΑΣ - ΠΑΛΑΜΑ, </v>
      </c>
      <c r="F162" s="232" t="s">
        <v>735</v>
      </c>
      <c r="G162" s="232">
        <v>14392</v>
      </c>
      <c r="H162" t="str">
        <f>IFERROR(INDEX(DimosNaiOxi,MATCH(ΤΚ!E162,DimosNai,0)),"")</f>
        <v/>
      </c>
      <c r="I162" t="str">
        <f>LOOKUP(B162,ΠΕΡΙΦΕΡΕΙΑ!$A$2:$A$14,ΠΕΡΙΦΕΡΕΙΑ!$B$2:$B$14)</f>
        <v>Μερική</v>
      </c>
      <c r="J162" t="str">
        <f t="shared" si="18"/>
        <v/>
      </c>
      <c r="K162" s="206" t="e">
        <f t="shared" si="15"/>
        <v>#NUM!</v>
      </c>
      <c r="L162" t="str">
        <f t="shared" si="16"/>
        <v/>
      </c>
      <c r="M162" t="str">
        <f t="shared" si="17"/>
        <v/>
      </c>
      <c r="N162" s="204" t="str">
        <f t="shared" si="19"/>
        <v/>
      </c>
      <c r="O162" s="204" t="str">
        <f t="shared" si="20"/>
        <v/>
      </c>
    </row>
    <row r="163" spans="1:15" x14ac:dyDescent="0.25">
      <c r="A163" s="206">
        <v>162</v>
      </c>
      <c r="B163" t="s">
        <v>408</v>
      </c>
      <c r="C163" t="s">
        <v>383</v>
      </c>
      <c r="D163" t="s">
        <v>209</v>
      </c>
      <c r="E163" t="str">
        <f t="shared" si="14"/>
        <v xml:space="preserve">ΘΕΣΣΑΛΙΑΣ - ΠΥΛΗΣ, </v>
      </c>
      <c r="F163" s="232" t="s">
        <v>736</v>
      </c>
      <c r="G163" s="232">
        <v>14376</v>
      </c>
      <c r="H163" t="str">
        <f>IFERROR(INDEX(DimosNaiOxi,MATCH(ΤΚ!E163,DimosNai,0)),"")</f>
        <v/>
      </c>
      <c r="I163" t="str">
        <f>LOOKUP(B163,ΠΕΡΙΦΕΡΕΙΑ!$A$2:$A$14,ΠΕΡΙΦΕΡΕΙΑ!$B$2:$B$14)</f>
        <v>Μερική</v>
      </c>
      <c r="J163" t="str">
        <f t="shared" si="18"/>
        <v/>
      </c>
      <c r="K163" s="206" t="e">
        <f t="shared" si="15"/>
        <v>#NUM!</v>
      </c>
      <c r="L163" t="str">
        <f t="shared" si="16"/>
        <v/>
      </c>
      <c r="M163" t="str">
        <f t="shared" si="17"/>
        <v/>
      </c>
      <c r="N163" s="204" t="str">
        <f t="shared" si="19"/>
        <v/>
      </c>
      <c r="O163" s="204" t="str">
        <f t="shared" si="20"/>
        <v/>
      </c>
    </row>
    <row r="164" spans="1:15" x14ac:dyDescent="0.25">
      <c r="A164" s="206">
        <v>163</v>
      </c>
      <c r="B164" t="s">
        <v>408</v>
      </c>
      <c r="C164" t="s">
        <v>381</v>
      </c>
      <c r="D164" t="s">
        <v>204</v>
      </c>
      <c r="E164" t="str">
        <f t="shared" si="14"/>
        <v xml:space="preserve">ΘΕΣΣΑΛΙΑΣ - ΡΗΓΑ ΦΕΡΑΙΟΥ, </v>
      </c>
      <c r="F164" s="232" t="s">
        <v>737</v>
      </c>
      <c r="G164" s="232">
        <v>14430</v>
      </c>
      <c r="H164" t="str">
        <f>IFERROR(INDEX(DimosNaiOxi,MATCH(ΤΚ!E164,DimosNai,0)),"")</f>
        <v/>
      </c>
      <c r="I164" t="str">
        <f>LOOKUP(B164,ΠΕΡΙΦΕΡΕΙΑ!$A$2:$A$14,ΠΕΡΙΦΕΡΕΙΑ!$B$2:$B$14)</f>
        <v>Μερική</v>
      </c>
      <c r="J164" t="str">
        <f t="shared" si="18"/>
        <v/>
      </c>
      <c r="K164" s="206" t="e">
        <f t="shared" si="15"/>
        <v>#NUM!</v>
      </c>
      <c r="L164" t="str">
        <f t="shared" si="16"/>
        <v/>
      </c>
      <c r="M164" t="str">
        <f t="shared" si="17"/>
        <v/>
      </c>
      <c r="N164" s="204" t="str">
        <f t="shared" si="19"/>
        <v/>
      </c>
      <c r="O164" s="204" t="str">
        <f t="shared" si="20"/>
        <v/>
      </c>
    </row>
    <row r="165" spans="1:15" x14ac:dyDescent="0.25">
      <c r="A165" s="206">
        <v>164</v>
      </c>
      <c r="B165" t="s">
        <v>408</v>
      </c>
      <c r="C165" t="s">
        <v>382</v>
      </c>
      <c r="D165" t="s">
        <v>206</v>
      </c>
      <c r="E165" t="str">
        <f t="shared" si="14"/>
        <v xml:space="preserve">ΘΕΣΣΑΛΙΑΣ - ΣΚΙΑΘΟΥ, </v>
      </c>
      <c r="F165" s="232" t="s">
        <v>738</v>
      </c>
      <c r="G165" s="232">
        <v>14472</v>
      </c>
      <c r="H165" t="str">
        <f>IFERROR(INDEX(DimosNaiOxi,MATCH(ΤΚ!E165,DimosNai,0)),"")</f>
        <v/>
      </c>
      <c r="I165" t="str">
        <f>LOOKUP(B165,ΠΕΡΙΦΕΡΕΙΑ!$A$2:$A$14,ΠΕΡΙΦΕΡΕΙΑ!$B$2:$B$14)</f>
        <v>Μερική</v>
      </c>
      <c r="J165" t="str">
        <f t="shared" si="18"/>
        <v/>
      </c>
      <c r="K165" s="206" t="e">
        <f t="shared" si="15"/>
        <v>#NUM!</v>
      </c>
      <c r="L165" t="str">
        <f t="shared" si="16"/>
        <v/>
      </c>
      <c r="M165" t="str">
        <f t="shared" si="17"/>
        <v/>
      </c>
      <c r="N165" s="204" t="str">
        <f t="shared" si="19"/>
        <v/>
      </c>
      <c r="O165" s="204" t="str">
        <f t="shared" si="20"/>
        <v/>
      </c>
    </row>
    <row r="166" spans="1:15" x14ac:dyDescent="0.25">
      <c r="A166" s="206">
        <v>165</v>
      </c>
      <c r="B166" t="s">
        <v>408</v>
      </c>
      <c r="C166" t="s">
        <v>382</v>
      </c>
      <c r="D166" t="s">
        <v>207</v>
      </c>
      <c r="E166" t="str">
        <f t="shared" si="14"/>
        <v xml:space="preserve">ΘΕΣΣΑΛΙΑΣ - ΣΚΟΠΕΛΟΥ, </v>
      </c>
      <c r="F166" s="232" t="s">
        <v>739</v>
      </c>
      <c r="G166" s="232">
        <v>14474</v>
      </c>
      <c r="H166" t="str">
        <f>IFERROR(INDEX(DimosNaiOxi,MATCH(ΤΚ!E166,DimosNai,0)),"")</f>
        <v/>
      </c>
      <c r="I166" t="str">
        <f>LOOKUP(B166,ΠΕΡΙΦΕΡΕΙΑ!$A$2:$A$14,ΠΕΡΙΦΕΡΕΙΑ!$B$2:$B$14)</f>
        <v>Μερική</v>
      </c>
      <c r="J166" t="str">
        <f t="shared" si="18"/>
        <v/>
      </c>
      <c r="K166" s="206" t="e">
        <f t="shared" si="15"/>
        <v>#NUM!</v>
      </c>
      <c r="L166" t="str">
        <f t="shared" si="16"/>
        <v/>
      </c>
      <c r="M166" t="str">
        <f t="shared" si="17"/>
        <v/>
      </c>
      <c r="N166" s="204" t="str">
        <f t="shared" si="19"/>
        <v/>
      </c>
      <c r="O166" s="204" t="str">
        <f t="shared" si="20"/>
        <v/>
      </c>
    </row>
    <row r="167" spans="1:15" x14ac:dyDescent="0.25">
      <c r="A167" s="206">
        <v>166</v>
      </c>
      <c r="B167" t="s">
        <v>408</v>
      </c>
      <c r="C167" t="s">
        <v>188</v>
      </c>
      <c r="D167" t="s">
        <v>192</v>
      </c>
      <c r="E167" t="str">
        <f t="shared" si="14"/>
        <v xml:space="preserve">ΘΕΣΣΑΛΙΑΣ - ΣΟΦΑΔΩΝ, </v>
      </c>
      <c r="F167" s="232" t="s">
        <v>740</v>
      </c>
      <c r="G167" s="232">
        <v>14480</v>
      </c>
      <c r="H167" t="str">
        <f>IFERROR(INDEX(DimosNaiOxi,MATCH(ΤΚ!E167,DimosNai,0)),"")</f>
        <v/>
      </c>
      <c r="I167" t="str">
        <f>LOOKUP(B167,ΠΕΡΙΦΕΡΕΙΑ!$A$2:$A$14,ΠΕΡΙΦΕΡΕΙΑ!$B$2:$B$14)</f>
        <v>Μερική</v>
      </c>
      <c r="J167" t="str">
        <f t="shared" si="18"/>
        <v/>
      </c>
      <c r="K167" s="206" t="e">
        <f t="shared" si="15"/>
        <v>#NUM!</v>
      </c>
      <c r="L167" t="str">
        <f t="shared" si="16"/>
        <v/>
      </c>
      <c r="M167" t="str">
        <f t="shared" si="17"/>
        <v/>
      </c>
      <c r="N167" s="204" t="str">
        <f t="shared" si="19"/>
        <v/>
      </c>
      <c r="O167" s="204" t="str">
        <f t="shared" si="20"/>
        <v/>
      </c>
    </row>
    <row r="168" spans="1:15" x14ac:dyDescent="0.25">
      <c r="A168" s="206">
        <v>167</v>
      </c>
      <c r="B168" t="s">
        <v>408</v>
      </c>
      <c r="C168" t="s">
        <v>380</v>
      </c>
      <c r="D168" t="s">
        <v>197</v>
      </c>
      <c r="E168" t="str">
        <f t="shared" si="14"/>
        <v xml:space="preserve">ΘΕΣΣΑΛΙΑΣ - ΤΕΜΠΩΝ, </v>
      </c>
      <c r="F168" s="232" t="s">
        <v>741</v>
      </c>
      <c r="G168" s="232">
        <v>14498</v>
      </c>
      <c r="H168" t="str">
        <f>IFERROR(INDEX(DimosNaiOxi,MATCH(ΤΚ!E168,DimosNai,0)),"")</f>
        <v/>
      </c>
      <c r="I168" t="str">
        <f>LOOKUP(B168,ΠΕΡΙΦΕΡΕΙΑ!$A$2:$A$14,ΠΕΡΙΦΕΡΕΙΑ!$B$2:$B$14)</f>
        <v>Μερική</v>
      </c>
      <c r="J168" t="str">
        <f t="shared" si="18"/>
        <v/>
      </c>
      <c r="K168" s="206" t="e">
        <f t="shared" si="15"/>
        <v>#NUM!</v>
      </c>
      <c r="L168" t="str">
        <f t="shared" si="16"/>
        <v/>
      </c>
      <c r="M168" t="str">
        <f t="shared" si="17"/>
        <v/>
      </c>
      <c r="N168" s="204" t="str">
        <f t="shared" si="19"/>
        <v/>
      </c>
      <c r="O168" s="204" t="str">
        <f t="shared" si="20"/>
        <v/>
      </c>
    </row>
    <row r="169" spans="1:15" x14ac:dyDescent="0.25">
      <c r="A169" s="206">
        <v>168</v>
      </c>
      <c r="B169" t="s">
        <v>408</v>
      </c>
      <c r="C169" t="s">
        <v>383</v>
      </c>
      <c r="D169" t="s">
        <v>210</v>
      </c>
      <c r="E169" t="str">
        <f t="shared" si="14"/>
        <v xml:space="preserve">ΘΕΣΣΑΛΙΑΣ - ΤΡΙΚΚΑΙΩΝ, </v>
      </c>
      <c r="F169" s="232" t="s">
        <v>742</v>
      </c>
      <c r="G169" s="232">
        <v>14504</v>
      </c>
      <c r="H169" t="str">
        <f>IFERROR(INDEX(DimosNaiOxi,MATCH(ΤΚ!E169,DimosNai,0)),"")</f>
        <v>ΝΑΙ</v>
      </c>
      <c r="I169" t="str">
        <f>LOOKUP(B169,ΠΕΡΙΦΕΡΕΙΑ!$A$2:$A$14,ΠΕΡΙΦΕΡΕΙΑ!$B$2:$B$14)</f>
        <v>Μερική</v>
      </c>
      <c r="J169">
        <f t="shared" si="18"/>
        <v>168</v>
      </c>
      <c r="K169" s="206" t="e">
        <f t="shared" si="15"/>
        <v>#NUM!</v>
      </c>
      <c r="L169" t="str">
        <f t="shared" si="16"/>
        <v/>
      </c>
      <c r="M169" t="str">
        <f t="shared" si="17"/>
        <v/>
      </c>
      <c r="N169" s="204" t="str">
        <f t="shared" si="19"/>
        <v/>
      </c>
      <c r="O169" s="204" t="str">
        <f t="shared" si="20"/>
        <v/>
      </c>
    </row>
    <row r="170" spans="1:15" x14ac:dyDescent="0.25">
      <c r="A170" s="206">
        <v>169</v>
      </c>
      <c r="B170" t="s">
        <v>408</v>
      </c>
      <c r="C170" t="s">
        <v>380</v>
      </c>
      <c r="D170" t="s">
        <v>198</v>
      </c>
      <c r="E170" t="str">
        <f t="shared" si="14"/>
        <v xml:space="preserve">ΘΕΣΣΑΛΙΑΣ - ΤΥΡΝΑΒΟΥ, </v>
      </c>
      <c r="F170" s="232" t="s">
        <v>743</v>
      </c>
      <c r="G170" s="232">
        <v>14510</v>
      </c>
      <c r="H170" t="str">
        <f>IFERROR(INDEX(DimosNaiOxi,MATCH(ΤΚ!E170,DimosNai,0)),"")</f>
        <v/>
      </c>
      <c r="I170" t="str">
        <f>LOOKUP(B170,ΠΕΡΙΦΕΡΕΙΑ!$A$2:$A$14,ΠΕΡΙΦΕΡΕΙΑ!$B$2:$B$14)</f>
        <v>Μερική</v>
      </c>
      <c r="J170" t="str">
        <f t="shared" si="18"/>
        <v/>
      </c>
      <c r="K170" s="206" t="e">
        <f t="shared" si="15"/>
        <v>#NUM!</v>
      </c>
      <c r="L170" t="str">
        <f t="shared" si="16"/>
        <v/>
      </c>
      <c r="M170" t="str">
        <f t="shared" si="17"/>
        <v/>
      </c>
      <c r="N170" s="204" t="str">
        <f t="shared" si="19"/>
        <v/>
      </c>
      <c r="O170" s="204" t="str">
        <f t="shared" si="20"/>
        <v/>
      </c>
    </row>
    <row r="171" spans="1:15" x14ac:dyDescent="0.25">
      <c r="A171" s="206">
        <v>170</v>
      </c>
      <c r="B171" t="s">
        <v>408</v>
      </c>
      <c r="C171" t="s">
        <v>383</v>
      </c>
      <c r="D171" t="s">
        <v>211</v>
      </c>
      <c r="E171" t="str">
        <f t="shared" si="14"/>
        <v xml:space="preserve">ΘΕΣΣΑΛΙΑΣ - ΦΑΡΚΑΔΟΝΑΣ, </v>
      </c>
      <c r="F171" s="232" t="s">
        <v>744</v>
      </c>
      <c r="G171" s="232">
        <v>14514</v>
      </c>
      <c r="H171" t="str">
        <f>IFERROR(INDEX(DimosNaiOxi,MATCH(ΤΚ!E171,DimosNai,0)),"")</f>
        <v/>
      </c>
      <c r="I171" t="str">
        <f>LOOKUP(B171,ΠΕΡΙΦΕΡΕΙΑ!$A$2:$A$14,ΠΕΡΙΦΕΡΕΙΑ!$B$2:$B$14)</f>
        <v>Μερική</v>
      </c>
      <c r="J171" t="str">
        <f t="shared" si="18"/>
        <v/>
      </c>
      <c r="K171" s="206" t="e">
        <f t="shared" si="15"/>
        <v>#NUM!</v>
      </c>
      <c r="L171" t="str">
        <f t="shared" si="16"/>
        <v/>
      </c>
      <c r="M171" t="str">
        <f t="shared" si="17"/>
        <v/>
      </c>
      <c r="N171" s="204" t="str">
        <f t="shared" si="19"/>
        <v/>
      </c>
      <c r="O171" s="204" t="str">
        <f t="shared" si="20"/>
        <v/>
      </c>
    </row>
    <row r="172" spans="1:15" x14ac:dyDescent="0.25">
      <c r="A172" s="206">
        <v>171</v>
      </c>
      <c r="B172" t="s">
        <v>408</v>
      </c>
      <c r="C172" t="s">
        <v>380</v>
      </c>
      <c r="D172" t="s">
        <v>199</v>
      </c>
      <c r="E172" t="str">
        <f t="shared" si="14"/>
        <v xml:space="preserve">ΘΕΣΣΑΛΙΑΣ - ΦΑΡΣΑΛΩΝ, </v>
      </c>
      <c r="F172" s="232" t="s">
        <v>745</v>
      </c>
      <c r="G172" s="232">
        <v>14516</v>
      </c>
      <c r="H172" t="str">
        <f>IFERROR(INDEX(DimosNaiOxi,MATCH(ΤΚ!E172,DimosNai,0)),"")</f>
        <v/>
      </c>
      <c r="I172" t="str">
        <f>LOOKUP(B172,ΠΕΡΙΦΕΡΕΙΑ!$A$2:$A$14,ΠΕΡΙΦΕΡΕΙΑ!$B$2:$B$14)</f>
        <v>Μερική</v>
      </c>
      <c r="J172" t="str">
        <f t="shared" si="18"/>
        <v/>
      </c>
      <c r="K172" s="206" t="e">
        <f t="shared" si="15"/>
        <v>#NUM!</v>
      </c>
      <c r="L172" t="str">
        <f t="shared" si="16"/>
        <v/>
      </c>
      <c r="M172" t="str">
        <f t="shared" si="17"/>
        <v/>
      </c>
      <c r="N172" s="204" t="str">
        <f t="shared" si="19"/>
        <v/>
      </c>
      <c r="O172" s="204" t="str">
        <f t="shared" si="20"/>
        <v/>
      </c>
    </row>
    <row r="173" spans="1:15" x14ac:dyDescent="0.25">
      <c r="A173" s="206">
        <v>172</v>
      </c>
      <c r="B173" t="s">
        <v>409</v>
      </c>
      <c r="C173" t="s">
        <v>212</v>
      </c>
      <c r="D173" t="s">
        <v>212</v>
      </c>
      <c r="E173" t="str">
        <f t="shared" si="14"/>
        <v xml:space="preserve">ΙΟΝΙΩΝ ΝΗΣΩΝ - ΖΑΚΥΝΘΟΥ, </v>
      </c>
      <c r="F173" s="232" t="s">
        <v>746</v>
      </c>
      <c r="G173" s="232">
        <v>14112</v>
      </c>
      <c r="H173" t="str">
        <f>IFERROR(INDEX(DimosNaiOxi,MATCH(ΤΚ!E173,DimosNai,0)),"")</f>
        <v/>
      </c>
      <c r="I173" t="str">
        <f>LOOKUP(B173,ΠΕΡΙΦΕΡΕΙΑ!$A$2:$A$14,ΠΕΡΙΦΕΡΕΙΑ!$B$2:$B$14)</f>
        <v>Μερική</v>
      </c>
      <c r="J173" t="str">
        <f t="shared" si="18"/>
        <v/>
      </c>
      <c r="K173" s="206" t="e">
        <f t="shared" si="15"/>
        <v>#NUM!</v>
      </c>
      <c r="L173" t="str">
        <f t="shared" si="16"/>
        <v/>
      </c>
      <c r="M173" t="str">
        <f t="shared" si="17"/>
        <v/>
      </c>
      <c r="N173" s="204" t="str">
        <f t="shared" si="19"/>
        <v/>
      </c>
      <c r="O173" s="204" t="str">
        <f t="shared" si="20"/>
        <v/>
      </c>
    </row>
    <row r="174" spans="1:15" x14ac:dyDescent="0.25">
      <c r="A174" s="206">
        <v>173</v>
      </c>
      <c r="B174" t="s">
        <v>409</v>
      </c>
      <c r="C174" t="s">
        <v>213</v>
      </c>
      <c r="D174" t="s">
        <v>213</v>
      </c>
      <c r="E174" t="str">
        <f t="shared" si="14"/>
        <v xml:space="preserve">ΙΟΝΙΩΝ ΝΗΣΩΝ - ΙΘΑΚΗΣ, </v>
      </c>
      <c r="F174" s="232" t="s">
        <v>747</v>
      </c>
      <c r="G174" s="232">
        <v>14150</v>
      </c>
      <c r="H174" t="str">
        <f>IFERROR(INDEX(DimosNaiOxi,MATCH(ΤΚ!E174,DimosNai,0)),"")</f>
        <v/>
      </c>
      <c r="I174" t="str">
        <f>LOOKUP(B174,ΠΕΡΙΦΕΡΕΙΑ!$A$2:$A$14,ΠΕΡΙΦΕΡΕΙΑ!$B$2:$B$14)</f>
        <v>Μερική</v>
      </c>
      <c r="J174" t="str">
        <f t="shared" si="18"/>
        <v/>
      </c>
      <c r="K174" s="206" t="e">
        <f t="shared" si="15"/>
        <v>#NUM!</v>
      </c>
      <c r="L174" t="str">
        <f t="shared" si="16"/>
        <v/>
      </c>
      <c r="M174" t="str">
        <f t="shared" si="17"/>
        <v/>
      </c>
      <c r="N174" s="204" t="str">
        <f t="shared" si="19"/>
        <v/>
      </c>
      <c r="O174" s="204" t="str">
        <f t="shared" si="20"/>
        <v/>
      </c>
    </row>
    <row r="175" spans="1:15" x14ac:dyDescent="0.25">
      <c r="A175" s="206">
        <v>174</v>
      </c>
      <c r="B175" t="s">
        <v>409</v>
      </c>
      <c r="C175" t="s">
        <v>214</v>
      </c>
      <c r="D175" t="s">
        <v>214</v>
      </c>
      <c r="E175" t="str">
        <f t="shared" si="14"/>
        <v xml:space="preserve">ΙΟΝΙΩΝ ΝΗΣΩΝ - ΚΕΡΚΥΡΑΣ, </v>
      </c>
      <c r="F175" s="232" t="s">
        <v>748</v>
      </c>
      <c r="G175" s="232">
        <v>14166</v>
      </c>
      <c r="H175" t="str">
        <f>IFERROR(INDEX(DimosNaiOxi,MATCH(ΤΚ!E175,DimosNai,0)),"")</f>
        <v>ΝΑΙ</v>
      </c>
      <c r="I175" t="str">
        <f>LOOKUP(B175,ΠΕΡΙΦΕΡΕΙΑ!$A$2:$A$14,ΠΕΡΙΦΕΡΕΙΑ!$B$2:$B$14)</f>
        <v>Μερική</v>
      </c>
      <c r="J175">
        <f t="shared" si="18"/>
        <v>174</v>
      </c>
      <c r="K175" s="206" t="e">
        <f t="shared" si="15"/>
        <v>#NUM!</v>
      </c>
      <c r="L175" t="str">
        <f t="shared" si="16"/>
        <v/>
      </c>
      <c r="M175" t="str">
        <f t="shared" si="17"/>
        <v/>
      </c>
      <c r="N175" s="204" t="str">
        <f t="shared" si="19"/>
        <v/>
      </c>
      <c r="O175" s="204" t="str">
        <f t="shared" si="20"/>
        <v/>
      </c>
    </row>
    <row r="176" spans="1:15" x14ac:dyDescent="0.25">
      <c r="A176" s="206">
        <v>175</v>
      </c>
      <c r="B176" t="s">
        <v>409</v>
      </c>
      <c r="C176" t="s">
        <v>384</v>
      </c>
      <c r="D176" t="s">
        <v>216</v>
      </c>
      <c r="E176" t="str">
        <f t="shared" si="14"/>
        <v xml:space="preserve">ΙΟΝΙΩΝ ΝΗΣΩΝ - ΚΕΦΑΛΟΝΙΑΣ, </v>
      </c>
      <c r="F176" s="232" t="s">
        <v>749</v>
      </c>
      <c r="G176" s="232">
        <v>14210</v>
      </c>
      <c r="H176" t="str">
        <f>IFERROR(INDEX(DimosNaiOxi,MATCH(ΤΚ!E176,DimosNai,0)),"")</f>
        <v/>
      </c>
      <c r="I176" t="str">
        <f>LOOKUP(B176,ΠΕΡΙΦΕΡΕΙΑ!$A$2:$A$14,ΠΕΡΙΦΕΡΕΙΑ!$B$2:$B$14)</f>
        <v>Μερική</v>
      </c>
      <c r="J176" t="str">
        <f t="shared" si="18"/>
        <v/>
      </c>
      <c r="K176" s="206" t="e">
        <f t="shared" si="15"/>
        <v>#NUM!</v>
      </c>
      <c r="L176" t="str">
        <f t="shared" si="16"/>
        <v/>
      </c>
      <c r="M176" t="str">
        <f t="shared" si="17"/>
        <v/>
      </c>
      <c r="N176" s="204" t="str">
        <f t="shared" si="19"/>
        <v/>
      </c>
      <c r="O176" s="204" t="str">
        <f t="shared" si="20"/>
        <v/>
      </c>
    </row>
    <row r="177" spans="1:15" x14ac:dyDescent="0.25">
      <c r="A177" s="206">
        <v>176</v>
      </c>
      <c r="B177" t="s">
        <v>409</v>
      </c>
      <c r="C177" t="s">
        <v>217</v>
      </c>
      <c r="D177" t="s">
        <v>217</v>
      </c>
      <c r="E177" t="str">
        <f t="shared" si="14"/>
        <v xml:space="preserve">ΙΟΝΙΩΝ ΝΗΣΩΝ - ΛΕΥΚΑΔΑΣ, </v>
      </c>
      <c r="F177" s="232" t="s">
        <v>750</v>
      </c>
      <c r="G177" s="232">
        <v>14258</v>
      </c>
      <c r="H177" t="str">
        <f>IFERROR(INDEX(DimosNaiOxi,MATCH(ΤΚ!E177,DimosNai,0)),"")</f>
        <v/>
      </c>
      <c r="I177" t="str">
        <f>LOOKUP(B177,ΠΕΡΙΦΕΡΕΙΑ!$A$2:$A$14,ΠΕΡΙΦΕΡΕΙΑ!$B$2:$B$14)</f>
        <v>Μερική</v>
      </c>
      <c r="J177" t="str">
        <f t="shared" si="18"/>
        <v/>
      </c>
      <c r="K177" s="206" t="e">
        <f t="shared" si="15"/>
        <v>#NUM!</v>
      </c>
      <c r="L177" t="str">
        <f t="shared" si="16"/>
        <v/>
      </c>
      <c r="M177" t="str">
        <f t="shared" si="17"/>
        <v/>
      </c>
      <c r="N177" s="204" t="str">
        <f t="shared" si="19"/>
        <v/>
      </c>
      <c r="O177" s="204" t="str">
        <f t="shared" si="20"/>
        <v/>
      </c>
    </row>
    <row r="178" spans="1:15" x14ac:dyDescent="0.25">
      <c r="A178" s="206">
        <v>177</v>
      </c>
      <c r="B178" t="s">
        <v>409</v>
      </c>
      <c r="C178" t="s">
        <v>217</v>
      </c>
      <c r="D178" t="s">
        <v>218</v>
      </c>
      <c r="E178" t="str">
        <f t="shared" si="14"/>
        <v xml:space="preserve">ΙΟΝΙΩΝ ΝΗΣΩΝ - ΜΕΓΑΝΗΣΙΟΥ, </v>
      </c>
      <c r="F178" s="232" t="s">
        <v>751</v>
      </c>
      <c r="G178" s="232">
        <v>14290</v>
      </c>
      <c r="H178" t="str">
        <f>IFERROR(INDEX(DimosNaiOxi,MATCH(ΤΚ!E178,DimosNai,0)),"")</f>
        <v/>
      </c>
      <c r="I178" t="str">
        <f>LOOKUP(B178,ΠΕΡΙΦΕΡΕΙΑ!$A$2:$A$14,ΠΕΡΙΦΕΡΕΙΑ!$B$2:$B$14)</f>
        <v>Μερική</v>
      </c>
      <c r="J178" t="str">
        <f t="shared" si="18"/>
        <v/>
      </c>
      <c r="K178" s="206" t="e">
        <f t="shared" si="15"/>
        <v>#NUM!</v>
      </c>
      <c r="L178" t="str">
        <f t="shared" si="16"/>
        <v/>
      </c>
      <c r="M178" t="str">
        <f t="shared" si="17"/>
        <v/>
      </c>
      <c r="N178" s="204" t="str">
        <f t="shared" si="19"/>
        <v/>
      </c>
      <c r="O178" s="204" t="str">
        <f t="shared" si="20"/>
        <v/>
      </c>
    </row>
    <row r="179" spans="1:15" x14ac:dyDescent="0.25">
      <c r="A179" s="206">
        <v>178</v>
      </c>
      <c r="B179" t="s">
        <v>409</v>
      </c>
      <c r="C179" t="s">
        <v>214</v>
      </c>
      <c r="D179" t="s">
        <v>215</v>
      </c>
      <c r="E179" t="str">
        <f t="shared" si="14"/>
        <v xml:space="preserve">ΙΟΝΙΩΝ ΝΗΣΩΝ - ΠΑΞΩΝ, </v>
      </c>
      <c r="F179" s="232" t="s">
        <v>752</v>
      </c>
      <c r="G179" s="232">
        <v>14396</v>
      </c>
      <c r="H179" t="str">
        <f>IFERROR(INDEX(DimosNaiOxi,MATCH(ΤΚ!E179,DimosNai,0)),"")</f>
        <v/>
      </c>
      <c r="I179" t="str">
        <f>LOOKUP(B179,ΠΕΡΙΦΕΡΕΙΑ!$A$2:$A$14,ΠΕΡΙΦΕΡΕΙΑ!$B$2:$B$14)</f>
        <v>Μερική</v>
      </c>
      <c r="J179" t="str">
        <f t="shared" si="18"/>
        <v/>
      </c>
      <c r="K179" s="206" t="e">
        <f t="shared" si="15"/>
        <v>#NUM!</v>
      </c>
      <c r="L179" t="str">
        <f t="shared" si="16"/>
        <v/>
      </c>
      <c r="M179" t="str">
        <f t="shared" si="17"/>
        <v/>
      </c>
      <c r="N179" s="204" t="str">
        <f t="shared" si="19"/>
        <v/>
      </c>
      <c r="O179" s="204" t="str">
        <f t="shared" si="20"/>
        <v/>
      </c>
    </row>
    <row r="180" spans="1:15" x14ac:dyDescent="0.25">
      <c r="A180" s="206">
        <v>179</v>
      </c>
      <c r="B180" t="s">
        <v>410</v>
      </c>
      <c r="C180" t="s">
        <v>385</v>
      </c>
      <c r="D180" t="s">
        <v>219</v>
      </c>
      <c r="E180" t="str">
        <f t="shared" si="14"/>
        <v xml:space="preserve">ΚΕΝΤΡΙΚΗΣ ΜΑΚΕΔΟΝΙΑΣ - ΑΛΕΞΑΝΔΡΕΙΑΣ, </v>
      </c>
      <c r="F180" s="232" t="s">
        <v>753</v>
      </c>
      <c r="G180" s="232">
        <v>13954</v>
      </c>
      <c r="H180" t="str">
        <f>IFERROR(INDEX(DimosNaiOxi,MATCH(ΤΚ!E180,DimosNai,0)),"")</f>
        <v>ΝΑΙ</v>
      </c>
      <c r="I180" t="str">
        <f>LOOKUP(B180,ΠΕΡΙΦΕΡΕΙΑ!$A$2:$A$14,ΠΕΡΙΦΕΡΕΙΑ!$B$2:$B$14)</f>
        <v>Μερική</v>
      </c>
      <c r="J180">
        <f t="shared" si="18"/>
        <v>179</v>
      </c>
      <c r="K180" s="206" t="e">
        <f t="shared" si="15"/>
        <v>#NUM!</v>
      </c>
      <c r="L180" t="str">
        <f t="shared" si="16"/>
        <v/>
      </c>
      <c r="M180" t="str">
        <f t="shared" si="17"/>
        <v/>
      </c>
      <c r="N180" s="204" t="str">
        <f t="shared" si="19"/>
        <v/>
      </c>
      <c r="O180" s="204" t="str">
        <f t="shared" si="20"/>
        <v/>
      </c>
    </row>
    <row r="181" spans="1:15" x14ac:dyDescent="0.25">
      <c r="A181" s="206">
        <v>180</v>
      </c>
      <c r="B181" t="s">
        <v>410</v>
      </c>
      <c r="C181" t="s">
        <v>240</v>
      </c>
      <c r="D181" t="s">
        <v>238</v>
      </c>
      <c r="E181" t="str">
        <f t="shared" si="14"/>
        <v xml:space="preserve">ΚΕΝΤΡΙΚΗΣ ΜΑΚΕΔΟΝΙΑΣ - ΑΛΜΩΠΙΑΣ, </v>
      </c>
      <c r="F181" s="232" t="s">
        <v>754</v>
      </c>
      <c r="G181" s="232">
        <v>13962</v>
      </c>
      <c r="H181" t="str">
        <f>IFERROR(INDEX(DimosNaiOxi,MATCH(ΤΚ!E181,DimosNai,0)),"")</f>
        <v>ΝΑΙ</v>
      </c>
      <c r="I181" t="str">
        <f>LOOKUP(B181,ΠΕΡΙΦΕΡΕΙΑ!$A$2:$A$14,ΠΕΡΙΦΕΡΕΙΑ!$B$2:$B$14)</f>
        <v>Μερική</v>
      </c>
      <c r="J181">
        <f t="shared" si="18"/>
        <v>180</v>
      </c>
      <c r="K181" s="206" t="e">
        <f t="shared" si="15"/>
        <v>#NUM!</v>
      </c>
      <c r="L181" t="str">
        <f t="shared" si="16"/>
        <v/>
      </c>
      <c r="M181" t="str">
        <f t="shared" si="17"/>
        <v/>
      </c>
      <c r="N181" s="204" t="str">
        <f t="shared" si="19"/>
        <v/>
      </c>
      <c r="O181" s="204" t="str">
        <f t="shared" si="20"/>
        <v/>
      </c>
    </row>
    <row r="182" spans="1:15" x14ac:dyDescent="0.25">
      <c r="A182" s="206">
        <v>181</v>
      </c>
      <c r="B182" t="s">
        <v>410</v>
      </c>
      <c r="C182" t="s">
        <v>227</v>
      </c>
      <c r="D182" t="s">
        <v>222</v>
      </c>
      <c r="E182" t="str">
        <f t="shared" si="14"/>
        <v xml:space="preserve">ΚΕΝΤΡΙΚΗΣ ΜΑΚΕΔΟΝΙΑΣ - ΑΜΠΕΛΟΚΗΠΩΝ – ΜΕΝΕΜΕΝΗΣ, </v>
      </c>
      <c r="F182" s="232" t="s">
        <v>755</v>
      </c>
      <c r="G182" s="232">
        <v>13972</v>
      </c>
      <c r="H182" t="str">
        <f>IFERROR(INDEX(DimosNaiOxi,MATCH(ΤΚ!E182,DimosNai,0)),"")</f>
        <v>ΝΑΙ</v>
      </c>
      <c r="I182" t="str">
        <f>LOOKUP(B182,ΠΕΡΙΦΕΡΕΙΑ!$A$2:$A$14,ΠΕΡΙΦΕΡΕΙΑ!$B$2:$B$14)</f>
        <v>Μερική</v>
      </c>
      <c r="J182">
        <f t="shared" si="18"/>
        <v>181</v>
      </c>
      <c r="K182" s="206" t="e">
        <f t="shared" si="15"/>
        <v>#NUM!</v>
      </c>
      <c r="L182" t="str">
        <f t="shared" si="16"/>
        <v/>
      </c>
      <c r="M182" t="str">
        <f t="shared" si="17"/>
        <v/>
      </c>
      <c r="N182" s="204" t="str">
        <f t="shared" si="19"/>
        <v/>
      </c>
      <c r="O182" s="204" t="str">
        <f t="shared" si="20"/>
        <v/>
      </c>
    </row>
    <row r="183" spans="1:15" x14ac:dyDescent="0.25">
      <c r="A183" s="206">
        <v>182</v>
      </c>
      <c r="B183" t="s">
        <v>410</v>
      </c>
      <c r="C183" t="s">
        <v>250</v>
      </c>
      <c r="D183" t="s">
        <v>245</v>
      </c>
      <c r="E183" t="str">
        <f t="shared" si="14"/>
        <v xml:space="preserve">ΚΕΝΤΡΙΚΗΣ ΜΑΚΕΔΟΝΙΑΣ - ΑΜΦΙΠΟΛΗΣ, </v>
      </c>
      <c r="F183" s="232" t="s">
        <v>756</v>
      </c>
      <c r="G183" s="232">
        <v>13978</v>
      </c>
      <c r="H183" t="str">
        <f>IFERROR(INDEX(DimosNaiOxi,MATCH(ΤΚ!E183,DimosNai,0)),"")</f>
        <v/>
      </c>
      <c r="I183" t="str">
        <f>LOOKUP(B183,ΠΕΡΙΦΕΡΕΙΑ!$A$2:$A$14,ΠΕΡΙΦΕΡΕΙΑ!$B$2:$B$14)</f>
        <v>Μερική</v>
      </c>
      <c r="J183" t="str">
        <f t="shared" si="18"/>
        <v/>
      </c>
      <c r="K183" s="206" t="e">
        <f t="shared" si="15"/>
        <v>#NUM!</v>
      </c>
      <c r="L183" t="str">
        <f t="shared" si="16"/>
        <v/>
      </c>
      <c r="M183" t="str">
        <f t="shared" si="17"/>
        <v/>
      </c>
      <c r="N183" s="204" t="str">
        <f t="shared" si="19"/>
        <v/>
      </c>
      <c r="O183" s="204" t="str">
        <f t="shared" si="20"/>
        <v/>
      </c>
    </row>
    <row r="184" spans="1:15" x14ac:dyDescent="0.25">
      <c r="A184" s="206">
        <v>183</v>
      </c>
      <c r="B184" t="s">
        <v>410</v>
      </c>
      <c r="C184" t="s">
        <v>387</v>
      </c>
      <c r="D184" t="s">
        <v>252</v>
      </c>
      <c r="E184" t="str">
        <f t="shared" si="14"/>
        <v xml:space="preserve">ΚΕΝΤΡΙΚΗΣ ΜΑΚΕΔΟΝΙΑΣ - ΑΡΙΣΤΟΤΕΛΗ, </v>
      </c>
      <c r="F184" s="232" t="s">
        <v>757</v>
      </c>
      <c r="G184" s="232">
        <v>13998</v>
      </c>
      <c r="H184" t="str">
        <f>IFERROR(INDEX(DimosNaiOxi,MATCH(ΤΚ!E184,DimosNai,0)),"")</f>
        <v/>
      </c>
      <c r="I184" t="str">
        <f>LOOKUP(B184,ΠΕΡΙΦΕΡΕΙΑ!$A$2:$A$14,ΠΕΡΙΦΕΡΕΙΑ!$B$2:$B$14)</f>
        <v>Μερική</v>
      </c>
      <c r="J184" t="str">
        <f t="shared" si="18"/>
        <v/>
      </c>
      <c r="K184" s="206" t="e">
        <f t="shared" si="15"/>
        <v>#NUM!</v>
      </c>
      <c r="L184" t="str">
        <f t="shared" si="16"/>
        <v/>
      </c>
      <c r="M184" t="str">
        <f t="shared" si="17"/>
        <v/>
      </c>
      <c r="N184" s="204" t="str">
        <f t="shared" si="19"/>
        <v/>
      </c>
      <c r="O184" s="204" t="str">
        <f t="shared" si="20"/>
        <v/>
      </c>
    </row>
    <row r="185" spans="1:15" x14ac:dyDescent="0.25">
      <c r="A185" s="206">
        <v>184</v>
      </c>
      <c r="B185" t="s">
        <v>410</v>
      </c>
      <c r="C185" t="s">
        <v>385</v>
      </c>
      <c r="D185" t="s">
        <v>220</v>
      </c>
      <c r="E185" t="str">
        <f t="shared" si="14"/>
        <v xml:space="preserve">ΚΕΝΤΡΙΚΗΣ ΜΑΚΕΔΟΝΙΑΣ - ΒΕΡΟΙΑΣ, </v>
      </c>
      <c r="F185" s="232" t="s">
        <v>758</v>
      </c>
      <c r="G185" s="232">
        <v>14018</v>
      </c>
      <c r="H185" t="str">
        <f>IFERROR(INDEX(DimosNaiOxi,MATCH(ΤΚ!E185,DimosNai,0)),"")</f>
        <v>ΝΑΙ</v>
      </c>
      <c r="I185" t="str">
        <f>LOOKUP(B185,ΠΕΡΙΦΕΡΕΙΑ!$A$2:$A$14,ΠΕΡΙΦΕΡΕΙΑ!$B$2:$B$14)</f>
        <v>Μερική</v>
      </c>
      <c r="J185">
        <f t="shared" si="18"/>
        <v>184</v>
      </c>
      <c r="K185" s="206" t="e">
        <f t="shared" si="15"/>
        <v>#NUM!</v>
      </c>
      <c r="L185" t="str">
        <f t="shared" si="16"/>
        <v/>
      </c>
      <c r="M185" t="str">
        <f t="shared" si="17"/>
        <v/>
      </c>
      <c r="N185" s="204" t="str">
        <f t="shared" si="19"/>
        <v/>
      </c>
      <c r="O185" s="204" t="str">
        <f t="shared" si="20"/>
        <v/>
      </c>
    </row>
    <row r="186" spans="1:15" x14ac:dyDescent="0.25">
      <c r="A186" s="206">
        <v>185</v>
      </c>
      <c r="B186" t="s">
        <v>410</v>
      </c>
      <c r="C186" t="s">
        <v>250</v>
      </c>
      <c r="D186" t="s">
        <v>246</v>
      </c>
      <c r="E186" t="str">
        <f t="shared" si="14"/>
        <v xml:space="preserve">ΚΕΝΤΡΙΚΗΣ ΜΑΚΕΔΟΝΙΑΣ - ΒΙΣΑΛΤΙΑΣ, </v>
      </c>
      <c r="F186" s="232" t="s">
        <v>759</v>
      </c>
      <c r="G186" s="232">
        <v>14030</v>
      </c>
      <c r="H186" t="str">
        <f>IFERROR(INDEX(DimosNaiOxi,MATCH(ΤΚ!E186,DimosNai,0)),"")</f>
        <v/>
      </c>
      <c r="I186" t="str">
        <f>LOOKUP(B186,ΠΕΡΙΦΕΡΕΙΑ!$A$2:$A$14,ΠΕΡΙΦΕΡΕΙΑ!$B$2:$B$14)</f>
        <v>Μερική</v>
      </c>
      <c r="J186" t="str">
        <f t="shared" si="18"/>
        <v/>
      </c>
      <c r="K186" s="206" t="e">
        <f t="shared" si="15"/>
        <v>#NUM!</v>
      </c>
      <c r="L186" t="str">
        <f t="shared" si="16"/>
        <v/>
      </c>
      <c r="M186" t="str">
        <f t="shared" si="17"/>
        <v/>
      </c>
      <c r="N186" s="204" t="str">
        <f t="shared" si="19"/>
        <v/>
      </c>
      <c r="O186" s="204" t="str">
        <f t="shared" si="20"/>
        <v/>
      </c>
    </row>
    <row r="187" spans="1:15" x14ac:dyDescent="0.25">
      <c r="A187" s="206">
        <v>186</v>
      </c>
      <c r="B187" t="s">
        <v>410</v>
      </c>
      <c r="C187" t="s">
        <v>227</v>
      </c>
      <c r="D187" t="s">
        <v>223</v>
      </c>
      <c r="E187" t="str">
        <f t="shared" si="14"/>
        <v xml:space="preserve">ΚΕΝΤΡΙΚΗΣ ΜΑΚΕΔΟΝΙΑΣ - ΒΟΛΒΗΣ, </v>
      </c>
      <c r="F187" s="232" t="s">
        <v>760</v>
      </c>
      <c r="G187" s="232">
        <v>14020</v>
      </c>
      <c r="H187" t="str">
        <f>IFERROR(INDEX(DimosNaiOxi,MATCH(ΤΚ!E187,DimosNai,0)),"")</f>
        <v/>
      </c>
      <c r="I187" t="str">
        <f>LOOKUP(B187,ΠΕΡΙΦΕΡΕΙΑ!$A$2:$A$14,ΠΕΡΙΦΕΡΕΙΑ!$B$2:$B$14)</f>
        <v>Μερική</v>
      </c>
      <c r="J187" t="str">
        <f t="shared" si="18"/>
        <v/>
      </c>
      <c r="K187" s="206" t="e">
        <f t="shared" si="15"/>
        <v>#NUM!</v>
      </c>
      <c r="L187" t="str">
        <f t="shared" si="16"/>
        <v/>
      </c>
      <c r="M187" t="str">
        <f t="shared" si="17"/>
        <v/>
      </c>
      <c r="N187" s="204" t="str">
        <f t="shared" si="19"/>
        <v/>
      </c>
      <c r="O187" s="204" t="str">
        <f t="shared" si="20"/>
        <v/>
      </c>
    </row>
    <row r="188" spans="1:15" x14ac:dyDescent="0.25">
      <c r="A188" s="206">
        <v>187</v>
      </c>
      <c r="B188" t="s">
        <v>410</v>
      </c>
      <c r="C188" t="s">
        <v>227</v>
      </c>
      <c r="D188" t="s">
        <v>224</v>
      </c>
      <c r="E188" t="str">
        <f t="shared" si="14"/>
        <v xml:space="preserve">ΚΕΝΤΡΙΚΗΣ ΜΑΚΕΔΟΝΙΑΣ - ΔΕΛΤΑ, </v>
      </c>
      <c r="F188" s="232" t="s">
        <v>761</v>
      </c>
      <c r="G188" s="232">
        <v>14054</v>
      </c>
      <c r="H188" t="str">
        <f>IFERROR(INDEX(DimosNaiOxi,MATCH(ΤΚ!E188,DimosNai,0)),"")</f>
        <v>ΝΑΙ</v>
      </c>
      <c r="I188" t="str">
        <f>LOOKUP(B188,ΠΕΡΙΦΕΡΕΙΑ!$A$2:$A$14,ΠΕΡΙΦΕΡΕΙΑ!$B$2:$B$14)</f>
        <v>Μερική</v>
      </c>
      <c r="J188">
        <f t="shared" si="18"/>
        <v>187</v>
      </c>
      <c r="K188" s="206" t="e">
        <f t="shared" si="15"/>
        <v>#NUM!</v>
      </c>
      <c r="L188" t="str">
        <f t="shared" si="16"/>
        <v/>
      </c>
      <c r="M188" t="str">
        <f t="shared" si="17"/>
        <v/>
      </c>
      <c r="N188" s="204" t="str">
        <f t="shared" si="19"/>
        <v/>
      </c>
      <c r="O188" s="204" t="str">
        <f t="shared" si="20"/>
        <v/>
      </c>
    </row>
    <row r="189" spans="1:15" x14ac:dyDescent="0.25">
      <c r="A189" s="206">
        <v>188</v>
      </c>
      <c r="B189" t="s">
        <v>410</v>
      </c>
      <c r="C189" t="s">
        <v>386</v>
      </c>
      <c r="D189" t="s">
        <v>242</v>
      </c>
      <c r="E189" t="str">
        <f t="shared" si="14"/>
        <v xml:space="preserve">ΚΕΝΤΡΙΚΗΣ ΜΑΚΕΔΟΝΙΑΣ - ΔΙΟΥ – ΟΛΥΜΠΟΥ, </v>
      </c>
      <c r="F189" s="232" t="s">
        <v>762</v>
      </c>
      <c r="G189" s="232">
        <v>14056</v>
      </c>
      <c r="H189" t="str">
        <f>IFERROR(INDEX(DimosNaiOxi,MATCH(ΤΚ!E189,DimosNai,0)),"")</f>
        <v/>
      </c>
      <c r="I189" t="str">
        <f>LOOKUP(B189,ΠΕΡΙΦΕΡΕΙΑ!$A$2:$A$14,ΠΕΡΙΦΕΡΕΙΑ!$B$2:$B$14)</f>
        <v>Μερική</v>
      </c>
      <c r="J189" t="str">
        <f t="shared" si="18"/>
        <v/>
      </c>
      <c r="K189" s="206" t="e">
        <f t="shared" si="15"/>
        <v>#NUM!</v>
      </c>
      <c r="L189" t="str">
        <f t="shared" si="16"/>
        <v/>
      </c>
      <c r="M189" t="str">
        <f t="shared" si="17"/>
        <v/>
      </c>
      <c r="N189" s="204" t="str">
        <f t="shared" si="19"/>
        <v/>
      </c>
      <c r="O189" s="204" t="str">
        <f t="shared" si="20"/>
        <v/>
      </c>
    </row>
    <row r="190" spans="1:15" x14ac:dyDescent="0.25">
      <c r="A190" s="206">
        <v>189</v>
      </c>
      <c r="B190" t="s">
        <v>410</v>
      </c>
      <c r="C190" t="s">
        <v>240</v>
      </c>
      <c r="D190" t="s">
        <v>239</v>
      </c>
      <c r="E190" t="str">
        <f t="shared" si="14"/>
        <v xml:space="preserve">ΚΕΝΤΡΙΚΗΣ ΜΑΚΕΔΟΝΙΑΣ - ΕΔΕΣΣΑΣ, </v>
      </c>
      <c r="F190" s="232" t="s">
        <v>763</v>
      </c>
      <c r="G190" s="232">
        <v>13912</v>
      </c>
      <c r="H190" t="str">
        <f>IFERROR(INDEX(DimosNaiOxi,MATCH(ΤΚ!E190,DimosNai,0)),"")</f>
        <v>ΝΑΙ</v>
      </c>
      <c r="I190" t="str">
        <f>LOOKUP(B190,ΠΕΡΙΦΕΡΕΙΑ!$A$2:$A$14,ΠΕΡΙΦΕΡΕΙΑ!$B$2:$B$14)</f>
        <v>Μερική</v>
      </c>
      <c r="J190">
        <f t="shared" si="18"/>
        <v>189</v>
      </c>
      <c r="K190" s="206" t="e">
        <f t="shared" si="15"/>
        <v>#NUM!</v>
      </c>
      <c r="L190" t="str">
        <f t="shared" si="16"/>
        <v/>
      </c>
      <c r="M190" t="str">
        <f t="shared" si="17"/>
        <v/>
      </c>
      <c r="N190" s="204" t="str">
        <f t="shared" si="19"/>
        <v/>
      </c>
      <c r="O190" s="204" t="str">
        <f t="shared" si="20"/>
        <v/>
      </c>
    </row>
    <row r="191" spans="1:15" x14ac:dyDescent="0.25">
      <c r="A191" s="206">
        <v>190</v>
      </c>
      <c r="B191" t="s">
        <v>410</v>
      </c>
      <c r="C191" t="s">
        <v>250</v>
      </c>
      <c r="D191" t="s">
        <v>247</v>
      </c>
      <c r="E191" t="str">
        <f t="shared" si="14"/>
        <v xml:space="preserve">ΚΕΝΤΡΙΚΗΣ ΜΑΚΕΔΟΝΙΑΣ - ΕΜΜΑΝΟΥΗΛ ΠΑΠΠΑ, </v>
      </c>
      <c r="F191" s="232" t="s">
        <v>764</v>
      </c>
      <c r="G191" s="232">
        <v>14092</v>
      </c>
      <c r="H191" t="str">
        <f>IFERROR(INDEX(DimosNaiOxi,MATCH(ΤΚ!E191,DimosNai,0)),"")</f>
        <v/>
      </c>
      <c r="I191" t="str">
        <f>LOOKUP(B191,ΠΕΡΙΦΕΡΕΙΑ!$A$2:$A$14,ΠΕΡΙΦΕΡΕΙΑ!$B$2:$B$14)</f>
        <v>Μερική</v>
      </c>
      <c r="J191" t="str">
        <f t="shared" si="18"/>
        <v/>
      </c>
      <c r="K191" s="206" t="e">
        <f t="shared" si="15"/>
        <v>#NUM!</v>
      </c>
      <c r="L191" t="str">
        <f t="shared" si="16"/>
        <v/>
      </c>
      <c r="M191" t="str">
        <f t="shared" si="17"/>
        <v/>
      </c>
      <c r="N191" s="204" t="str">
        <f t="shared" si="19"/>
        <v/>
      </c>
      <c r="O191" s="204" t="str">
        <f t="shared" si="20"/>
        <v/>
      </c>
    </row>
    <row r="192" spans="1:15" x14ac:dyDescent="0.25">
      <c r="A192" s="206">
        <v>191</v>
      </c>
      <c r="B192" t="s">
        <v>410</v>
      </c>
      <c r="C192" t="s">
        <v>250</v>
      </c>
      <c r="D192" t="s">
        <v>248</v>
      </c>
      <c r="E192" t="str">
        <f t="shared" si="14"/>
        <v xml:space="preserve">ΚΕΝΤΡΙΚΗΣ ΜΑΚΕΔΟΝΙΑΣ - ΗΡΑΚΛΕΙΑΣ, </v>
      </c>
      <c r="F192" s="232" t="s">
        <v>765</v>
      </c>
      <c r="G192" s="232">
        <v>14124</v>
      </c>
      <c r="H192" t="str">
        <f>IFERROR(INDEX(DimosNaiOxi,MATCH(ΤΚ!E192,DimosNai,0)),"")</f>
        <v/>
      </c>
      <c r="I192" t="str">
        <f>LOOKUP(B192,ΠΕΡΙΦΕΡΕΙΑ!$A$2:$A$14,ΠΕΡΙΦΕΡΕΙΑ!$B$2:$B$14)</f>
        <v>Μερική</v>
      </c>
      <c r="J192" t="str">
        <f t="shared" si="18"/>
        <v/>
      </c>
      <c r="K192" s="206" t="e">
        <f t="shared" si="15"/>
        <v>#NUM!</v>
      </c>
      <c r="L192" t="str">
        <f t="shared" si="16"/>
        <v/>
      </c>
      <c r="M192" t="str">
        <f t="shared" si="17"/>
        <v/>
      </c>
      <c r="N192" s="204" t="str">
        <f t="shared" si="19"/>
        <v/>
      </c>
      <c r="O192" s="204" t="str">
        <f t="shared" si="20"/>
        <v/>
      </c>
    </row>
    <row r="193" spans="1:15" x14ac:dyDescent="0.25">
      <c r="A193" s="206">
        <v>192</v>
      </c>
      <c r="B193" t="s">
        <v>410</v>
      </c>
      <c r="C193" t="s">
        <v>227</v>
      </c>
      <c r="D193" t="s">
        <v>225</v>
      </c>
      <c r="E193" t="str">
        <f t="shared" si="14"/>
        <v xml:space="preserve">ΚΕΝΤΡΙΚΗΣ ΜΑΚΕΔΟΝΙΑΣ - ΘΕΡΜΑΪΚΟΥ, </v>
      </c>
      <c r="F193" s="232" t="s">
        <v>766</v>
      </c>
      <c r="G193" s="232">
        <v>14136</v>
      </c>
      <c r="H193" t="str">
        <f>IFERROR(INDEX(DimosNaiOxi,MATCH(ΤΚ!E193,DimosNai,0)),"")</f>
        <v>ΝΑΙ</v>
      </c>
      <c r="I193" t="str">
        <f>LOOKUP(B193,ΠΕΡΙΦΕΡΕΙΑ!$A$2:$A$14,ΠΕΡΙΦΕΡΕΙΑ!$B$2:$B$14)</f>
        <v>Μερική</v>
      </c>
      <c r="J193">
        <f t="shared" si="18"/>
        <v>192</v>
      </c>
      <c r="K193" s="206" t="e">
        <f t="shared" si="15"/>
        <v>#NUM!</v>
      </c>
      <c r="L193" t="str">
        <f t="shared" si="16"/>
        <v/>
      </c>
      <c r="M193" t="str">
        <f t="shared" si="17"/>
        <v/>
      </c>
      <c r="N193" s="204" t="str">
        <f t="shared" si="19"/>
        <v/>
      </c>
      <c r="O193" s="204" t="str">
        <f t="shared" si="20"/>
        <v/>
      </c>
    </row>
    <row r="194" spans="1:15" x14ac:dyDescent="0.25">
      <c r="A194" s="206">
        <v>193</v>
      </c>
      <c r="B194" t="s">
        <v>410</v>
      </c>
      <c r="C194" t="s">
        <v>227</v>
      </c>
      <c r="D194" t="s">
        <v>226</v>
      </c>
      <c r="E194" t="str">
        <f t="shared" ref="E194:E257" si="21">B194&amp;" - "&amp;D194&amp;", "</f>
        <v xml:space="preserve">ΚΕΝΤΡΙΚΗΣ ΜΑΚΕΔΟΝΙΑΣ - ΘΕΡΜΗΣ, </v>
      </c>
      <c r="F194" s="232" t="s">
        <v>767</v>
      </c>
      <c r="G194" s="232">
        <v>14130</v>
      </c>
      <c r="H194" t="str">
        <f>IFERROR(INDEX(DimosNaiOxi,MATCH(ΤΚ!E194,DimosNai,0)),"")</f>
        <v>ΝΑΙ</v>
      </c>
      <c r="I194" t="str">
        <f>LOOKUP(B194,ΠΕΡΙΦΕΡΕΙΑ!$A$2:$A$14,ΠΕΡΙΦΕΡΕΙΑ!$B$2:$B$14)</f>
        <v>Μερική</v>
      </c>
      <c r="J194">
        <f t="shared" si="18"/>
        <v>193</v>
      </c>
      <c r="K194" s="206" t="e">
        <f t="shared" ref="K194:K257" si="22">SMALL(J:J,A194)</f>
        <v>#NUM!</v>
      </c>
      <c r="L194" t="str">
        <f t="shared" ref="L194:L257" si="23">IF(ISNUMBER(K194),LOOKUP(K194,A:A,B:B),"")</f>
        <v/>
      </c>
      <c r="M194" t="str">
        <f t="shared" ref="M194:M257" si="24">IF(ISNUMBER(K194),LOOKUP(K194,A:A,B:B)&amp;" - "&amp;LOOKUP(K194,A:A,D:D),"")</f>
        <v/>
      </c>
      <c r="N194" s="204" t="str">
        <f t="shared" si="19"/>
        <v/>
      </c>
      <c r="O194" s="204" t="str">
        <f t="shared" si="20"/>
        <v/>
      </c>
    </row>
    <row r="195" spans="1:15" x14ac:dyDescent="0.25">
      <c r="A195" s="206">
        <v>194</v>
      </c>
      <c r="B195" t="s">
        <v>410</v>
      </c>
      <c r="C195" t="s">
        <v>227</v>
      </c>
      <c r="D195" t="s">
        <v>227</v>
      </c>
      <c r="E195" t="str">
        <f t="shared" si="21"/>
        <v xml:space="preserve">ΚΕΝΤΡΙΚΗΣ ΜΑΚΕΔΟΝΙΑΣ - ΘΕΣΣΑΛΟΝΙΚΗΣ, </v>
      </c>
      <c r="F195" s="232" t="s">
        <v>768</v>
      </c>
      <c r="G195" s="232">
        <v>14138</v>
      </c>
      <c r="H195" t="str">
        <f>IFERROR(INDEX(DimosNaiOxi,MATCH(ΤΚ!E195,DimosNai,0)),"")</f>
        <v>ΝΑΙ</v>
      </c>
      <c r="I195" t="str">
        <f>LOOKUP(B195,ΠΕΡΙΦΕΡΕΙΑ!$A$2:$A$14,ΠΕΡΙΦΕΡΕΙΑ!$B$2:$B$14)</f>
        <v>Μερική</v>
      </c>
      <c r="J195">
        <f t="shared" ref="J195:J258" si="25">IF(OR(AND(I195="Μερική",H195="ΝΑΙ"),I195="Ολική"),A195,"")</f>
        <v>194</v>
      </c>
      <c r="K195" s="206" t="e">
        <f t="shared" si="22"/>
        <v>#NUM!</v>
      </c>
      <c r="L195" t="str">
        <f t="shared" si="23"/>
        <v/>
      </c>
      <c r="M195" t="str">
        <f t="shared" si="24"/>
        <v/>
      </c>
      <c r="N195" s="204" t="str">
        <f t="shared" ref="N195:N258" si="26">IF(ISNUMBER(K195),LOOKUP(K195,A:A,G:G),"")</f>
        <v/>
      </c>
      <c r="O195" s="204" t="str">
        <f t="shared" ref="O195:O258" si="27">IF(ISNUMBER(K195),LOOKUP(K195,A:A,F:F),"")</f>
        <v/>
      </c>
    </row>
    <row r="196" spans="1:15" x14ac:dyDescent="0.25">
      <c r="A196" s="206">
        <v>195</v>
      </c>
      <c r="B196" t="s">
        <v>410</v>
      </c>
      <c r="C196" t="s">
        <v>227</v>
      </c>
      <c r="D196" t="s">
        <v>228</v>
      </c>
      <c r="E196" t="str">
        <f t="shared" si="21"/>
        <v xml:space="preserve">ΚΕΝΤΡΙΚΗΣ ΜΑΚΕΔΟΝΙΑΣ - ΚΑΛΑΜΑΡΙΑΣ, </v>
      </c>
      <c r="F196" s="232" t="s">
        <v>769</v>
      </c>
      <c r="G196" s="232">
        <v>14182</v>
      </c>
      <c r="H196" t="str">
        <f>IFERROR(INDEX(DimosNaiOxi,MATCH(ΤΚ!E196,DimosNai,0)),"")</f>
        <v>ΝΑΙ</v>
      </c>
      <c r="I196" t="str">
        <f>LOOKUP(B196,ΠΕΡΙΦΕΡΕΙΑ!$A$2:$A$14,ΠΕΡΙΦΕΡΕΙΑ!$B$2:$B$14)</f>
        <v>Μερική</v>
      </c>
      <c r="J196">
        <f t="shared" si="25"/>
        <v>195</v>
      </c>
      <c r="K196" s="206" t="e">
        <f t="shared" si="22"/>
        <v>#NUM!</v>
      </c>
      <c r="L196" t="str">
        <f t="shared" si="23"/>
        <v/>
      </c>
      <c r="M196" t="str">
        <f t="shared" si="24"/>
        <v/>
      </c>
      <c r="N196" s="204" t="str">
        <f t="shared" si="26"/>
        <v/>
      </c>
      <c r="O196" s="204" t="str">
        <f t="shared" si="27"/>
        <v/>
      </c>
    </row>
    <row r="197" spans="1:15" x14ac:dyDescent="0.25">
      <c r="A197" s="206">
        <v>196</v>
      </c>
      <c r="B197" t="s">
        <v>410</v>
      </c>
      <c r="C197" t="s">
        <v>387</v>
      </c>
      <c r="D197" t="s">
        <v>253</v>
      </c>
      <c r="E197" t="str">
        <f t="shared" si="21"/>
        <v xml:space="preserve">ΚΕΝΤΡΙΚΗΣ ΜΑΚΕΔΟΝΙΑΣ - ΚΑΣΣΑΝΔΡΑΣ, </v>
      </c>
      <c r="F197" s="232" t="s">
        <v>770</v>
      </c>
      <c r="G197" s="232">
        <v>14200</v>
      </c>
      <c r="H197" t="str">
        <f>IFERROR(INDEX(DimosNaiOxi,MATCH(ΤΚ!E197,DimosNai,0)),"")</f>
        <v/>
      </c>
      <c r="I197" t="str">
        <f>LOOKUP(B197,ΠΕΡΙΦΕΡΕΙΑ!$A$2:$A$14,ΠΕΡΙΦΕΡΕΙΑ!$B$2:$B$14)</f>
        <v>Μερική</v>
      </c>
      <c r="J197" t="str">
        <f t="shared" si="25"/>
        <v/>
      </c>
      <c r="K197" s="206" t="e">
        <f t="shared" si="22"/>
        <v>#NUM!</v>
      </c>
      <c r="L197" t="str">
        <f t="shared" si="23"/>
        <v/>
      </c>
      <c r="M197" t="str">
        <f t="shared" si="24"/>
        <v/>
      </c>
      <c r="N197" s="204" t="str">
        <f t="shared" si="26"/>
        <v/>
      </c>
      <c r="O197" s="204" t="str">
        <f t="shared" si="27"/>
        <v/>
      </c>
    </row>
    <row r="198" spans="1:15" x14ac:dyDescent="0.25">
      <c r="A198" s="206">
        <v>197</v>
      </c>
      <c r="B198" t="s">
        <v>410</v>
      </c>
      <c r="C198" t="s">
        <v>386</v>
      </c>
      <c r="D198" t="s">
        <v>243</v>
      </c>
      <c r="E198" t="str">
        <f t="shared" si="21"/>
        <v xml:space="preserve">ΚΕΝΤΡΙΚΗΣ ΜΑΚΕΔΟΝΙΑΣ - ΚΑΤΕΡΙΝΗΣ, </v>
      </c>
      <c r="F198" s="232" t="s">
        <v>771</v>
      </c>
      <c r="G198" s="232">
        <v>14204</v>
      </c>
      <c r="H198" t="str">
        <f>IFERROR(INDEX(DimosNaiOxi,MATCH(ΤΚ!E198,DimosNai,0)),"")</f>
        <v>ΝΑΙ</v>
      </c>
      <c r="I198" t="str">
        <f>LOOKUP(B198,ΠΕΡΙΦΕΡΕΙΑ!$A$2:$A$14,ΠΕΡΙΦΕΡΕΙΑ!$B$2:$B$14)</f>
        <v>Μερική</v>
      </c>
      <c r="J198">
        <f t="shared" si="25"/>
        <v>197</v>
      </c>
      <c r="K198" s="206" t="e">
        <f t="shared" si="22"/>
        <v>#NUM!</v>
      </c>
      <c r="L198" t="str">
        <f t="shared" si="23"/>
        <v/>
      </c>
      <c r="M198" t="str">
        <f t="shared" si="24"/>
        <v/>
      </c>
      <c r="N198" s="204" t="str">
        <f t="shared" si="26"/>
        <v/>
      </c>
      <c r="O198" s="204" t="str">
        <f t="shared" si="27"/>
        <v/>
      </c>
    </row>
    <row r="199" spans="1:15" x14ac:dyDescent="0.25">
      <c r="A199" s="206">
        <v>198</v>
      </c>
      <c r="B199" t="s">
        <v>410</v>
      </c>
      <c r="C199" t="s">
        <v>236</v>
      </c>
      <c r="D199" t="s">
        <v>236</v>
      </c>
      <c r="E199" t="str">
        <f t="shared" si="21"/>
        <v xml:space="preserve">ΚΕΝΤΡΙΚΗΣ ΜΑΚΕΔΟΝΙΑΣ - ΚΙΛΚΙΣ, </v>
      </c>
      <c r="F199" s="232" t="s">
        <v>772</v>
      </c>
      <c r="G199" s="232">
        <v>14216</v>
      </c>
      <c r="H199" t="str">
        <f>IFERROR(INDEX(DimosNaiOxi,MATCH(ΤΚ!E199,DimosNai,0)),"")</f>
        <v>ΝΑΙ</v>
      </c>
      <c r="I199" t="str">
        <f>LOOKUP(B199,ΠΕΡΙΦΕΡΕΙΑ!$A$2:$A$14,ΠΕΡΙΦΕΡΕΙΑ!$B$2:$B$14)</f>
        <v>Μερική</v>
      </c>
      <c r="J199">
        <f t="shared" si="25"/>
        <v>198</v>
      </c>
      <c r="K199" s="206" t="e">
        <f t="shared" si="22"/>
        <v>#NUM!</v>
      </c>
      <c r="L199" t="str">
        <f t="shared" si="23"/>
        <v/>
      </c>
      <c r="M199" t="str">
        <f t="shared" si="24"/>
        <v/>
      </c>
      <c r="N199" s="204" t="str">
        <f t="shared" si="26"/>
        <v/>
      </c>
      <c r="O199" s="204" t="str">
        <f t="shared" si="27"/>
        <v/>
      </c>
    </row>
    <row r="200" spans="1:15" x14ac:dyDescent="0.25">
      <c r="A200" s="206">
        <v>199</v>
      </c>
      <c r="B200" t="s">
        <v>410</v>
      </c>
      <c r="C200" t="s">
        <v>227</v>
      </c>
      <c r="D200" t="s">
        <v>229</v>
      </c>
      <c r="E200" t="str">
        <f t="shared" si="21"/>
        <v xml:space="preserve">ΚΕΝΤΡΙΚΗΣ ΜΑΚΕΔΟΝΙΑΣ - ΚΟΡΔΕΛΙΟΥ – ΕΥΟΣΜΟΥ, </v>
      </c>
      <c r="F200" s="232" t="s">
        <v>773</v>
      </c>
      <c r="G200" s="232">
        <v>14226</v>
      </c>
      <c r="H200" t="str">
        <f>IFERROR(INDEX(DimosNaiOxi,MATCH(ΤΚ!E200,DimosNai,0)),"")</f>
        <v>ΝΑΙ</v>
      </c>
      <c r="I200" t="str">
        <f>LOOKUP(B200,ΠΕΡΙΦΕΡΕΙΑ!$A$2:$A$14,ΠΕΡΙΦΕΡΕΙΑ!$B$2:$B$14)</f>
        <v>Μερική</v>
      </c>
      <c r="J200">
        <f t="shared" si="25"/>
        <v>199</v>
      </c>
      <c r="K200" s="206" t="e">
        <f t="shared" si="22"/>
        <v>#NUM!</v>
      </c>
      <c r="L200" t="str">
        <f t="shared" si="23"/>
        <v/>
      </c>
      <c r="M200" t="str">
        <f t="shared" si="24"/>
        <v/>
      </c>
      <c r="N200" s="204" t="str">
        <f t="shared" si="26"/>
        <v/>
      </c>
      <c r="O200" s="204" t="str">
        <f t="shared" si="27"/>
        <v/>
      </c>
    </row>
    <row r="201" spans="1:15" x14ac:dyDescent="0.25">
      <c r="A201" s="206">
        <v>200</v>
      </c>
      <c r="B201" t="s">
        <v>410</v>
      </c>
      <c r="C201" t="s">
        <v>227</v>
      </c>
      <c r="D201" t="s">
        <v>230</v>
      </c>
      <c r="E201" t="str">
        <f t="shared" si="21"/>
        <v xml:space="preserve">ΚΕΝΤΡΙΚΗΣ ΜΑΚΕΔΟΝΙΑΣ - ΛΑΓΚΑΔΑ, </v>
      </c>
      <c r="F201" s="232" t="s">
        <v>774</v>
      </c>
      <c r="G201" s="232">
        <v>14246</v>
      </c>
      <c r="H201" t="str">
        <f>IFERROR(INDEX(DimosNaiOxi,MATCH(ΤΚ!E201,DimosNai,0)),"")</f>
        <v/>
      </c>
      <c r="I201" t="str">
        <f>LOOKUP(B201,ΠΕΡΙΦΕΡΕΙΑ!$A$2:$A$14,ΠΕΡΙΦΕΡΕΙΑ!$B$2:$B$14)</f>
        <v>Μερική</v>
      </c>
      <c r="J201" t="str">
        <f t="shared" si="25"/>
        <v/>
      </c>
      <c r="K201" s="206" t="e">
        <f t="shared" si="22"/>
        <v>#NUM!</v>
      </c>
      <c r="L201" t="str">
        <f t="shared" si="23"/>
        <v/>
      </c>
      <c r="M201" t="str">
        <f t="shared" si="24"/>
        <v/>
      </c>
      <c r="N201" s="204" t="str">
        <f t="shared" si="26"/>
        <v/>
      </c>
      <c r="O201" s="204" t="str">
        <f t="shared" si="27"/>
        <v/>
      </c>
    </row>
    <row r="202" spans="1:15" x14ac:dyDescent="0.25">
      <c r="A202" s="206">
        <v>201</v>
      </c>
      <c r="B202" t="s">
        <v>410</v>
      </c>
      <c r="C202" t="s">
        <v>385</v>
      </c>
      <c r="D202" t="s">
        <v>221</v>
      </c>
      <c r="E202" t="str">
        <f t="shared" si="21"/>
        <v xml:space="preserve">ΚΕΝΤΡΙΚΗΣ ΜΑΚΕΔΟΝΙΑΣ - ΝΑΟΥΣΑΣ, </v>
      </c>
      <c r="F202" s="232" t="s">
        <v>775</v>
      </c>
      <c r="G202" s="232">
        <v>14314</v>
      </c>
      <c r="H202" t="str">
        <f>IFERROR(INDEX(DimosNaiOxi,MATCH(ΤΚ!E202,DimosNai,0)),"")</f>
        <v>ΝΑΙ</v>
      </c>
      <c r="I202" t="str">
        <f>LOOKUP(B202,ΠΕΡΙΦΕΡΕΙΑ!$A$2:$A$14,ΠΕΡΙΦΕΡΕΙΑ!$B$2:$B$14)</f>
        <v>Μερική</v>
      </c>
      <c r="J202">
        <f t="shared" si="25"/>
        <v>201</v>
      </c>
      <c r="K202" s="206" t="e">
        <f t="shared" si="22"/>
        <v>#NUM!</v>
      </c>
      <c r="L202" t="str">
        <f t="shared" si="23"/>
        <v/>
      </c>
      <c r="M202" t="str">
        <f t="shared" si="24"/>
        <v/>
      </c>
      <c r="N202" s="204" t="str">
        <f t="shared" si="26"/>
        <v/>
      </c>
      <c r="O202" s="204" t="str">
        <f t="shared" si="27"/>
        <v/>
      </c>
    </row>
    <row r="203" spans="1:15" x14ac:dyDescent="0.25">
      <c r="A203" s="206">
        <v>202</v>
      </c>
      <c r="B203" t="s">
        <v>410</v>
      </c>
      <c r="C203" t="s">
        <v>227</v>
      </c>
      <c r="D203" t="s">
        <v>231</v>
      </c>
      <c r="E203" t="str">
        <f t="shared" si="21"/>
        <v xml:space="preserve">ΚΕΝΤΡΙΚΗΣ ΜΑΚΕΔΟΝΙΑΣ - ΝΕΑΠΟΛΗΣ – ΣΥΚΕΩΝ, </v>
      </c>
      <c r="F203" s="232" t="s">
        <v>776</v>
      </c>
      <c r="G203" s="232">
        <v>14316</v>
      </c>
      <c r="H203" t="str">
        <f>IFERROR(INDEX(DimosNaiOxi,MATCH(ΤΚ!E203,DimosNai,0)),"")</f>
        <v>ΝΑΙ</v>
      </c>
      <c r="I203" t="str">
        <f>LOOKUP(B203,ΠΕΡΙΦΕΡΕΙΑ!$A$2:$A$14,ΠΕΡΙΦΕΡΕΙΑ!$B$2:$B$14)</f>
        <v>Μερική</v>
      </c>
      <c r="J203">
        <f t="shared" si="25"/>
        <v>202</v>
      </c>
      <c r="K203" s="206" t="e">
        <f t="shared" si="22"/>
        <v>#NUM!</v>
      </c>
      <c r="L203" t="str">
        <f t="shared" si="23"/>
        <v/>
      </c>
      <c r="M203" t="str">
        <f t="shared" si="24"/>
        <v/>
      </c>
      <c r="N203" s="204" t="str">
        <f t="shared" si="26"/>
        <v/>
      </c>
      <c r="O203" s="204" t="str">
        <f t="shared" si="27"/>
        <v/>
      </c>
    </row>
    <row r="204" spans="1:15" x14ac:dyDescent="0.25">
      <c r="A204" s="206">
        <v>203</v>
      </c>
      <c r="B204" t="s">
        <v>410</v>
      </c>
      <c r="C204" t="s">
        <v>250</v>
      </c>
      <c r="D204" t="s">
        <v>249</v>
      </c>
      <c r="E204" t="str">
        <f t="shared" si="21"/>
        <v xml:space="preserve">ΚΕΝΤΡΙΚΗΣ ΜΑΚΕΔΟΝΙΑΣ - ΝΕΑΣ ΖΙΧΝΗΣ, </v>
      </c>
      <c r="F204" s="232" t="s">
        <v>777</v>
      </c>
      <c r="G204" s="232">
        <v>14318</v>
      </c>
      <c r="H204" t="str">
        <f>IFERROR(INDEX(DimosNaiOxi,MATCH(ΤΚ!E204,DimosNai,0)),"")</f>
        <v/>
      </c>
      <c r="I204" t="str">
        <f>LOOKUP(B204,ΠΕΡΙΦΕΡΕΙΑ!$A$2:$A$14,ΠΕΡΙΦΕΡΕΙΑ!$B$2:$B$14)</f>
        <v>Μερική</v>
      </c>
      <c r="J204" t="str">
        <f t="shared" si="25"/>
        <v/>
      </c>
      <c r="K204" s="206" t="e">
        <f t="shared" si="22"/>
        <v>#NUM!</v>
      </c>
      <c r="L204" t="str">
        <f t="shared" si="23"/>
        <v/>
      </c>
      <c r="M204" t="str">
        <f t="shared" si="24"/>
        <v/>
      </c>
      <c r="N204" s="204" t="str">
        <f t="shared" si="26"/>
        <v/>
      </c>
      <c r="O204" s="204" t="str">
        <f t="shared" si="27"/>
        <v/>
      </c>
    </row>
    <row r="205" spans="1:15" x14ac:dyDescent="0.25">
      <c r="A205" s="206">
        <v>204</v>
      </c>
      <c r="B205" t="s">
        <v>410</v>
      </c>
      <c r="C205" t="s">
        <v>387</v>
      </c>
      <c r="D205" t="s">
        <v>254</v>
      </c>
      <c r="E205" t="str">
        <f t="shared" si="21"/>
        <v xml:space="preserve">ΚΕΝΤΡΙΚΗΣ ΜΑΚΕΔΟΝΙΑΣ - ΝΕΑΣ ΠΡΟΠΟΝΤΙΔΑΣ, </v>
      </c>
      <c r="F205" s="232" t="s">
        <v>778</v>
      </c>
      <c r="G205" s="232">
        <v>14322</v>
      </c>
      <c r="H205" t="str">
        <f>IFERROR(INDEX(DimosNaiOxi,MATCH(ΤΚ!E205,DimosNai,0)),"")</f>
        <v/>
      </c>
      <c r="I205" t="str">
        <f>LOOKUP(B205,ΠΕΡΙΦΕΡΕΙΑ!$A$2:$A$14,ΠΕΡΙΦΕΡΕΙΑ!$B$2:$B$14)</f>
        <v>Μερική</v>
      </c>
      <c r="J205" t="str">
        <f t="shared" si="25"/>
        <v/>
      </c>
      <c r="K205" s="206" t="e">
        <f t="shared" si="22"/>
        <v>#NUM!</v>
      </c>
      <c r="L205" t="str">
        <f t="shared" si="23"/>
        <v/>
      </c>
      <c r="M205" t="str">
        <f t="shared" si="24"/>
        <v/>
      </c>
      <c r="N205" s="204" t="str">
        <f t="shared" si="26"/>
        <v/>
      </c>
      <c r="O205" s="204" t="str">
        <f t="shared" si="27"/>
        <v/>
      </c>
    </row>
    <row r="206" spans="1:15" x14ac:dyDescent="0.25">
      <c r="A206" s="206">
        <v>205</v>
      </c>
      <c r="B206" t="s">
        <v>410</v>
      </c>
      <c r="C206" t="s">
        <v>236</v>
      </c>
      <c r="D206" t="s">
        <v>237</v>
      </c>
      <c r="E206" t="str">
        <f t="shared" si="21"/>
        <v xml:space="preserve">ΚΕΝΤΡΙΚΗΣ ΜΑΚΕΔΟΝΙΑΣ - ΠΑΙΟΝΙΑΣ, </v>
      </c>
      <c r="F206" s="232" t="s">
        <v>779</v>
      </c>
      <c r="G206" s="232">
        <v>14388</v>
      </c>
      <c r="H206" t="str">
        <f>IFERROR(INDEX(DimosNaiOxi,MATCH(ΤΚ!E206,DimosNai,0)),"")</f>
        <v/>
      </c>
      <c r="I206" t="str">
        <f>LOOKUP(B206,ΠΕΡΙΦΕΡΕΙΑ!$A$2:$A$14,ΠΕΡΙΦΕΡΕΙΑ!$B$2:$B$14)</f>
        <v>Μερική</v>
      </c>
      <c r="J206" t="str">
        <f t="shared" si="25"/>
        <v/>
      </c>
      <c r="K206" s="206" t="e">
        <f t="shared" si="22"/>
        <v>#NUM!</v>
      </c>
      <c r="L206" t="str">
        <f t="shared" si="23"/>
        <v/>
      </c>
      <c r="M206" t="str">
        <f t="shared" si="24"/>
        <v/>
      </c>
      <c r="N206" s="204" t="str">
        <f t="shared" si="26"/>
        <v/>
      </c>
      <c r="O206" s="204" t="str">
        <f t="shared" si="27"/>
        <v/>
      </c>
    </row>
    <row r="207" spans="1:15" x14ac:dyDescent="0.25">
      <c r="A207" s="206">
        <v>206</v>
      </c>
      <c r="B207" t="s">
        <v>410</v>
      </c>
      <c r="C207" t="s">
        <v>227</v>
      </c>
      <c r="D207" t="s">
        <v>232</v>
      </c>
      <c r="E207" t="str">
        <f t="shared" si="21"/>
        <v xml:space="preserve">ΚΕΝΤΡΙΚΗΣ ΜΑΚΕΔΟΝΙΑΣ - ΠΑΥΛΟΥ ΜΕΛΑ, </v>
      </c>
      <c r="F207" s="232" t="s">
        <v>780</v>
      </c>
      <c r="G207" s="232">
        <v>14382</v>
      </c>
      <c r="H207" t="str">
        <f>IFERROR(INDEX(DimosNaiOxi,MATCH(ΤΚ!E207,DimosNai,0)),"")</f>
        <v>ΝΑΙ</v>
      </c>
      <c r="I207" t="str">
        <f>LOOKUP(B207,ΠΕΡΙΦΕΡΕΙΑ!$A$2:$A$14,ΠΕΡΙΦΕΡΕΙΑ!$B$2:$B$14)</f>
        <v>Μερική</v>
      </c>
      <c r="J207">
        <f t="shared" si="25"/>
        <v>206</v>
      </c>
      <c r="K207" s="206" t="e">
        <f t="shared" si="22"/>
        <v>#NUM!</v>
      </c>
      <c r="L207" t="str">
        <f t="shared" si="23"/>
        <v/>
      </c>
      <c r="M207" t="str">
        <f t="shared" si="24"/>
        <v/>
      </c>
      <c r="N207" s="204" t="str">
        <f t="shared" si="26"/>
        <v/>
      </c>
      <c r="O207" s="204" t="str">
        <f t="shared" si="27"/>
        <v/>
      </c>
    </row>
    <row r="208" spans="1:15" x14ac:dyDescent="0.25">
      <c r="A208" s="206">
        <v>207</v>
      </c>
      <c r="B208" t="s">
        <v>410</v>
      </c>
      <c r="C208" t="s">
        <v>240</v>
      </c>
      <c r="D208" t="s">
        <v>240</v>
      </c>
      <c r="E208" t="str">
        <f t="shared" si="21"/>
        <v xml:space="preserve">ΚΕΝΤΡΙΚΗΣ ΜΑΚΕΔΟΝΙΑΣ - ΠΕΛΛΑΣ, </v>
      </c>
      <c r="F208" s="232" t="s">
        <v>781</v>
      </c>
      <c r="G208" s="232">
        <v>14370</v>
      </c>
      <c r="H208" t="str">
        <f>IFERROR(INDEX(DimosNaiOxi,MATCH(ΤΚ!E208,DimosNai,0)),"")</f>
        <v>ΝΑΙ</v>
      </c>
      <c r="I208" t="str">
        <f>LOOKUP(B208,ΠΕΡΙΦΕΡΕΙΑ!$A$2:$A$14,ΠΕΡΙΦΕΡΕΙΑ!$B$2:$B$14)</f>
        <v>Μερική</v>
      </c>
      <c r="J208">
        <f t="shared" si="25"/>
        <v>207</v>
      </c>
      <c r="K208" s="206" t="e">
        <f t="shared" si="22"/>
        <v>#NUM!</v>
      </c>
      <c r="L208" t="str">
        <f t="shared" si="23"/>
        <v/>
      </c>
      <c r="M208" t="str">
        <f t="shared" si="24"/>
        <v/>
      </c>
      <c r="N208" s="204" t="str">
        <f t="shared" si="26"/>
        <v/>
      </c>
      <c r="O208" s="204" t="str">
        <f t="shared" si="27"/>
        <v/>
      </c>
    </row>
    <row r="209" spans="1:15" x14ac:dyDescent="0.25">
      <c r="A209" s="206">
        <v>208</v>
      </c>
      <c r="B209" t="s">
        <v>410</v>
      </c>
      <c r="C209" t="s">
        <v>387</v>
      </c>
      <c r="D209" t="s">
        <v>255</v>
      </c>
      <c r="E209" t="str">
        <f t="shared" si="21"/>
        <v xml:space="preserve">ΚΕΝΤΡΙΚΗΣ ΜΑΚΕΔΟΝΙΑΣ - ΠΟΛΥΓΥΡΟΥ, </v>
      </c>
      <c r="F209" s="232" t="s">
        <v>782</v>
      </c>
      <c r="G209" s="232">
        <v>14418</v>
      </c>
      <c r="H209" t="str">
        <f>IFERROR(INDEX(DimosNaiOxi,MATCH(ΤΚ!E209,DimosNai,0)),"")</f>
        <v/>
      </c>
      <c r="I209" t="str">
        <f>LOOKUP(B209,ΠΕΡΙΦΕΡΕΙΑ!$A$2:$A$14,ΠΕΡΙΦΕΡΕΙΑ!$B$2:$B$14)</f>
        <v>Μερική</v>
      </c>
      <c r="J209" t="str">
        <f t="shared" si="25"/>
        <v/>
      </c>
      <c r="K209" s="206" t="e">
        <f t="shared" si="22"/>
        <v>#NUM!</v>
      </c>
      <c r="L209" t="str">
        <f t="shared" si="23"/>
        <v/>
      </c>
      <c r="M209" t="str">
        <f t="shared" si="24"/>
        <v/>
      </c>
      <c r="N209" s="204" t="str">
        <f t="shared" si="26"/>
        <v/>
      </c>
      <c r="O209" s="204" t="str">
        <f t="shared" si="27"/>
        <v/>
      </c>
    </row>
    <row r="210" spans="1:15" x14ac:dyDescent="0.25">
      <c r="A210" s="206">
        <v>209</v>
      </c>
      <c r="B210" t="s">
        <v>410</v>
      </c>
      <c r="C210" t="s">
        <v>386</v>
      </c>
      <c r="D210" t="s">
        <v>244</v>
      </c>
      <c r="E210" t="str">
        <f t="shared" si="21"/>
        <v xml:space="preserve">ΚΕΝΤΡΙΚΗΣ ΜΑΚΕΔΟΝΙΑΣ - ΠΥΔΝΑΣ – ΚΟΛΙΝΔΡΟΥ, </v>
      </c>
      <c r="F210" s="232" t="s">
        <v>783</v>
      </c>
      <c r="G210" s="232">
        <v>14374</v>
      </c>
      <c r="H210" t="str">
        <f>IFERROR(INDEX(DimosNaiOxi,MATCH(ΤΚ!E210,DimosNai,0)),"")</f>
        <v/>
      </c>
      <c r="I210" t="str">
        <f>LOOKUP(B210,ΠΕΡΙΦΕΡΕΙΑ!$A$2:$A$14,ΠΕΡΙΦΕΡΕΙΑ!$B$2:$B$14)</f>
        <v>Μερική</v>
      </c>
      <c r="J210" t="str">
        <f t="shared" si="25"/>
        <v/>
      </c>
      <c r="K210" s="206" t="e">
        <f t="shared" si="22"/>
        <v>#NUM!</v>
      </c>
      <c r="L210" t="str">
        <f t="shared" si="23"/>
        <v/>
      </c>
      <c r="M210" t="str">
        <f t="shared" si="24"/>
        <v/>
      </c>
      <c r="N210" s="204" t="str">
        <f t="shared" si="26"/>
        <v/>
      </c>
      <c r="O210" s="204" t="str">
        <f t="shared" si="27"/>
        <v/>
      </c>
    </row>
    <row r="211" spans="1:15" x14ac:dyDescent="0.25">
      <c r="A211" s="206">
        <v>210</v>
      </c>
      <c r="B211" t="s">
        <v>410</v>
      </c>
      <c r="C211" t="s">
        <v>227</v>
      </c>
      <c r="D211" t="s">
        <v>233</v>
      </c>
      <c r="E211" t="str">
        <f t="shared" si="21"/>
        <v xml:space="preserve">ΚΕΝΤΡΙΚΗΣ ΜΑΚΕΔΟΝΙΑΣ - ΠΥΛΑΙΑΣ – ΧΟΡΤΙΑΤΗ, </v>
      </c>
      <c r="F211" s="232" t="s">
        <v>784</v>
      </c>
      <c r="G211" s="232">
        <v>14426</v>
      </c>
      <c r="H211" t="str">
        <f>IFERROR(INDEX(DimosNaiOxi,MATCH(ΤΚ!E211,DimosNai,0)),"")</f>
        <v>ΝΑΙ</v>
      </c>
      <c r="I211" t="str">
        <f>LOOKUP(B211,ΠΕΡΙΦΕΡΕΙΑ!$A$2:$A$14,ΠΕΡΙΦΕΡΕΙΑ!$B$2:$B$14)</f>
        <v>Μερική</v>
      </c>
      <c r="J211">
        <f t="shared" si="25"/>
        <v>210</v>
      </c>
      <c r="K211" s="206" t="e">
        <f t="shared" si="22"/>
        <v>#NUM!</v>
      </c>
      <c r="L211" t="str">
        <f t="shared" si="23"/>
        <v/>
      </c>
      <c r="M211" t="str">
        <f t="shared" si="24"/>
        <v/>
      </c>
      <c r="N211" s="204" t="str">
        <f t="shared" si="26"/>
        <v/>
      </c>
      <c r="O211" s="204" t="str">
        <f t="shared" si="27"/>
        <v/>
      </c>
    </row>
    <row r="212" spans="1:15" x14ac:dyDescent="0.25">
      <c r="A212" s="206">
        <v>211</v>
      </c>
      <c r="B212" t="s">
        <v>410</v>
      </c>
      <c r="C212" t="s">
        <v>250</v>
      </c>
      <c r="D212" t="s">
        <v>250</v>
      </c>
      <c r="E212" t="str">
        <f t="shared" si="21"/>
        <v xml:space="preserve">ΚΕΝΤΡΙΚΗΣ ΜΑΚΕΔΟΝΙΑΣ - ΣΕΡΡΩΝ, </v>
      </c>
      <c r="F212" s="232" t="s">
        <v>785</v>
      </c>
      <c r="G212" s="232">
        <v>14456</v>
      </c>
      <c r="H212" t="str">
        <f>IFERROR(INDEX(DimosNaiOxi,MATCH(ΤΚ!E212,DimosNai,0)),"")</f>
        <v>ΝΑΙ</v>
      </c>
      <c r="I212" t="str">
        <f>LOOKUP(B212,ΠΕΡΙΦΕΡΕΙΑ!$A$2:$A$14,ΠΕΡΙΦΕΡΕΙΑ!$B$2:$B$14)</f>
        <v>Μερική</v>
      </c>
      <c r="J212">
        <f t="shared" si="25"/>
        <v>211</v>
      </c>
      <c r="K212" s="206" t="e">
        <f t="shared" si="22"/>
        <v>#NUM!</v>
      </c>
      <c r="L212" t="str">
        <f t="shared" si="23"/>
        <v/>
      </c>
      <c r="M212" t="str">
        <f t="shared" si="24"/>
        <v/>
      </c>
      <c r="N212" s="204" t="str">
        <f t="shared" si="26"/>
        <v/>
      </c>
      <c r="O212" s="204" t="str">
        <f t="shared" si="27"/>
        <v/>
      </c>
    </row>
    <row r="213" spans="1:15" x14ac:dyDescent="0.25">
      <c r="A213" s="206">
        <v>212</v>
      </c>
      <c r="B213" t="s">
        <v>410</v>
      </c>
      <c r="C213" t="s">
        <v>387</v>
      </c>
      <c r="D213" t="s">
        <v>256</v>
      </c>
      <c r="E213" t="str">
        <f t="shared" si="21"/>
        <v xml:space="preserve">ΚΕΝΤΡΙΚΗΣ ΜΑΚΕΔΟΝΙΑΣ - ΣΙΘΩΝΙΑΣ, </v>
      </c>
      <c r="F213" s="232" t="s">
        <v>786</v>
      </c>
      <c r="G213" s="232">
        <v>14460</v>
      </c>
      <c r="H213" t="str">
        <f>IFERROR(INDEX(DimosNaiOxi,MATCH(ΤΚ!E213,DimosNai,0)),"")</f>
        <v/>
      </c>
      <c r="I213" t="str">
        <f>LOOKUP(B213,ΠΕΡΙΦΕΡΕΙΑ!$A$2:$A$14,ΠΕΡΙΦΕΡΕΙΑ!$B$2:$B$14)</f>
        <v>Μερική</v>
      </c>
      <c r="J213" t="str">
        <f t="shared" si="25"/>
        <v/>
      </c>
      <c r="K213" s="206" t="e">
        <f t="shared" si="22"/>
        <v>#NUM!</v>
      </c>
      <c r="L213" t="str">
        <f t="shared" si="23"/>
        <v/>
      </c>
      <c r="M213" t="str">
        <f t="shared" si="24"/>
        <v/>
      </c>
      <c r="N213" s="204" t="str">
        <f t="shared" si="26"/>
        <v/>
      </c>
      <c r="O213" s="204" t="str">
        <f t="shared" si="27"/>
        <v/>
      </c>
    </row>
    <row r="214" spans="1:15" x14ac:dyDescent="0.25">
      <c r="A214" s="206">
        <v>213</v>
      </c>
      <c r="B214" t="s">
        <v>410</v>
      </c>
      <c r="C214" t="s">
        <v>250</v>
      </c>
      <c r="D214" t="s">
        <v>251</v>
      </c>
      <c r="E214" t="str">
        <f t="shared" si="21"/>
        <v xml:space="preserve">ΚΕΝΤΡΙΚΗΣ ΜΑΚΕΔΟΝΙΑΣ - ΣΙΝΤΙΚΗΣ, </v>
      </c>
      <c r="F214" s="232" t="s">
        <v>787</v>
      </c>
      <c r="G214" s="232">
        <v>14466</v>
      </c>
      <c r="H214" t="str">
        <f>IFERROR(INDEX(DimosNaiOxi,MATCH(ΤΚ!E214,DimosNai,0)),"")</f>
        <v/>
      </c>
      <c r="I214" t="str">
        <f>LOOKUP(B214,ΠΕΡΙΦΕΡΕΙΑ!$A$2:$A$14,ΠΕΡΙΦΕΡΕΙΑ!$B$2:$B$14)</f>
        <v>Μερική</v>
      </c>
      <c r="J214" t="str">
        <f t="shared" si="25"/>
        <v/>
      </c>
      <c r="K214" s="206" t="e">
        <f t="shared" si="22"/>
        <v>#NUM!</v>
      </c>
      <c r="L214" t="str">
        <f t="shared" si="23"/>
        <v/>
      </c>
      <c r="M214" t="str">
        <f t="shared" si="24"/>
        <v/>
      </c>
      <c r="N214" s="204" t="str">
        <f t="shared" si="26"/>
        <v/>
      </c>
      <c r="O214" s="204" t="str">
        <f t="shared" si="27"/>
        <v/>
      </c>
    </row>
    <row r="215" spans="1:15" x14ac:dyDescent="0.25">
      <c r="A215" s="206">
        <v>214</v>
      </c>
      <c r="B215" t="s">
        <v>410</v>
      </c>
      <c r="C215" t="s">
        <v>240</v>
      </c>
      <c r="D215" t="s">
        <v>241</v>
      </c>
      <c r="E215" t="str">
        <f t="shared" si="21"/>
        <v xml:space="preserve">ΚΕΝΤΡΙΚΗΣ ΜΑΚΕΔΟΝΙΑΣ - ΣΚΥΔΡΑΣ, </v>
      </c>
      <c r="F215" s="232" t="s">
        <v>788</v>
      </c>
      <c r="G215" s="232">
        <v>14468</v>
      </c>
      <c r="H215" t="str">
        <f>IFERROR(INDEX(DimosNaiOxi,MATCH(ΤΚ!E215,DimosNai,0)),"")</f>
        <v>ΝΑΙ</v>
      </c>
      <c r="I215" t="str">
        <f>LOOKUP(B215,ΠΕΡΙΦΕΡΕΙΑ!$A$2:$A$14,ΠΕΡΙΦΕΡΕΙΑ!$B$2:$B$14)</f>
        <v>Μερική</v>
      </c>
      <c r="J215">
        <f t="shared" si="25"/>
        <v>214</v>
      </c>
      <c r="K215" s="206" t="e">
        <f t="shared" si="22"/>
        <v>#NUM!</v>
      </c>
      <c r="L215" t="str">
        <f t="shared" si="23"/>
        <v/>
      </c>
      <c r="M215" t="str">
        <f t="shared" si="24"/>
        <v/>
      </c>
      <c r="N215" s="204" t="str">
        <f t="shared" si="26"/>
        <v/>
      </c>
      <c r="O215" s="204" t="str">
        <f t="shared" si="27"/>
        <v/>
      </c>
    </row>
    <row r="216" spans="1:15" x14ac:dyDescent="0.25">
      <c r="A216" s="206">
        <v>215</v>
      </c>
      <c r="B216" t="s">
        <v>410</v>
      </c>
      <c r="C216" t="s">
        <v>227</v>
      </c>
      <c r="D216" t="s">
        <v>234</v>
      </c>
      <c r="E216" t="str">
        <f t="shared" si="21"/>
        <v xml:space="preserve">ΚΕΝΤΡΙΚΗΣ ΜΑΚΕΔΟΝΙΑΣ - ΧΑΛΚΗΔΟΝΟΣ, </v>
      </c>
      <c r="F216" s="232" t="s">
        <v>789</v>
      </c>
      <c r="G216" s="232">
        <v>14538</v>
      </c>
      <c r="H216" t="str">
        <f>IFERROR(INDEX(DimosNaiOxi,MATCH(ΤΚ!E216,DimosNai,0)),"")</f>
        <v>ΝΑΙ</v>
      </c>
      <c r="I216" t="str">
        <f>LOOKUP(B216,ΠΕΡΙΦΕΡΕΙΑ!$A$2:$A$14,ΠΕΡΙΦΕΡΕΙΑ!$B$2:$B$14)</f>
        <v>Μερική</v>
      </c>
      <c r="J216">
        <f t="shared" si="25"/>
        <v>215</v>
      </c>
      <c r="K216" s="206" t="e">
        <f t="shared" si="22"/>
        <v>#NUM!</v>
      </c>
      <c r="L216" t="str">
        <f t="shared" si="23"/>
        <v/>
      </c>
      <c r="M216" t="str">
        <f t="shared" si="24"/>
        <v/>
      </c>
      <c r="N216" s="204" t="str">
        <f t="shared" si="26"/>
        <v/>
      </c>
      <c r="O216" s="204" t="str">
        <f t="shared" si="27"/>
        <v/>
      </c>
    </row>
    <row r="217" spans="1:15" x14ac:dyDescent="0.25">
      <c r="A217" s="206">
        <v>216</v>
      </c>
      <c r="B217" t="s">
        <v>410</v>
      </c>
      <c r="C217" t="s">
        <v>227</v>
      </c>
      <c r="D217" t="s">
        <v>235</v>
      </c>
      <c r="E217" t="str">
        <f t="shared" si="21"/>
        <v xml:space="preserve">ΚΕΝΤΡΙΚΗΣ ΜΑΚΕΔΟΝΙΑΣ - ΩΡΑΙΟΚΑΣΤΡΟΥ, </v>
      </c>
      <c r="F217" s="232" t="s">
        <v>790</v>
      </c>
      <c r="G217" s="232">
        <v>14550</v>
      </c>
      <c r="H217" t="str">
        <f>IFERROR(INDEX(DimosNaiOxi,MATCH(ΤΚ!E217,DimosNai,0)),"")</f>
        <v>ΝΑΙ</v>
      </c>
      <c r="I217" t="str">
        <f>LOOKUP(B217,ΠΕΡΙΦΕΡΕΙΑ!$A$2:$A$14,ΠΕΡΙΦΕΡΕΙΑ!$B$2:$B$14)</f>
        <v>Μερική</v>
      </c>
      <c r="J217">
        <f t="shared" si="25"/>
        <v>216</v>
      </c>
      <c r="K217" s="206" t="e">
        <f t="shared" si="22"/>
        <v>#NUM!</v>
      </c>
      <c r="L217" t="str">
        <f t="shared" si="23"/>
        <v/>
      </c>
      <c r="M217" t="str">
        <f t="shared" si="24"/>
        <v/>
      </c>
      <c r="N217" s="204" t="str">
        <f t="shared" si="26"/>
        <v/>
      </c>
      <c r="O217" s="204" t="str">
        <f t="shared" si="27"/>
        <v/>
      </c>
    </row>
    <row r="218" spans="1:15" x14ac:dyDescent="0.25">
      <c r="A218" s="206">
        <v>217</v>
      </c>
      <c r="B218" t="s">
        <v>411</v>
      </c>
      <c r="C218" t="s">
        <v>389</v>
      </c>
      <c r="D218" t="s">
        <v>268</v>
      </c>
      <c r="E218" t="str">
        <f t="shared" si="21"/>
        <v xml:space="preserve">ΚΡΗΤΗΣ - ΑΓΙΟΥ ΒΑΣΙΛΕΙΟΥ, </v>
      </c>
      <c r="F218" s="232" t="s">
        <v>791</v>
      </c>
      <c r="G218" s="232">
        <v>13926</v>
      </c>
      <c r="H218" t="str">
        <f>IFERROR(INDEX(DimosNaiOxi,MATCH(ΤΚ!E218,DimosNai,0)),"")</f>
        <v/>
      </c>
      <c r="I218" t="str">
        <f>LOOKUP(B218,ΠΕΡΙΦΕΡΕΙΑ!$A$2:$A$14,ΠΕΡΙΦΕΡΕΙΑ!$B$2:$B$14)</f>
        <v>Μερική</v>
      </c>
      <c r="J218" t="str">
        <f t="shared" si="25"/>
        <v/>
      </c>
      <c r="K218" s="206" t="e">
        <f t="shared" si="22"/>
        <v>#NUM!</v>
      </c>
      <c r="L218" t="str">
        <f t="shared" si="23"/>
        <v/>
      </c>
      <c r="M218" t="str">
        <f t="shared" si="24"/>
        <v/>
      </c>
      <c r="N218" s="204" t="str">
        <f t="shared" si="26"/>
        <v/>
      </c>
      <c r="O218" s="204" t="str">
        <f t="shared" si="27"/>
        <v/>
      </c>
    </row>
    <row r="219" spans="1:15" x14ac:dyDescent="0.25">
      <c r="A219" s="206">
        <v>218</v>
      </c>
      <c r="B219" t="s">
        <v>411</v>
      </c>
      <c r="C219" t="s">
        <v>388</v>
      </c>
      <c r="D219" t="s">
        <v>264</v>
      </c>
      <c r="E219" t="str">
        <f t="shared" si="21"/>
        <v xml:space="preserve">ΚΡΗΤΗΣ - ΑΓΙΟΥ ΝΙΚΟΛΑΟΥ, </v>
      </c>
      <c r="F219" s="232" t="s">
        <v>792</v>
      </c>
      <c r="G219" s="232">
        <v>13932</v>
      </c>
      <c r="H219" t="str">
        <f>IFERROR(INDEX(DimosNaiOxi,MATCH(ΤΚ!E219,DimosNai,0)),"")</f>
        <v>ΝΑΙ</v>
      </c>
      <c r="I219" t="str">
        <f>LOOKUP(B219,ΠΕΡΙΦΕΡΕΙΑ!$A$2:$A$14,ΠΕΡΙΦΕΡΕΙΑ!$B$2:$B$14)</f>
        <v>Μερική</v>
      </c>
      <c r="J219">
        <f t="shared" si="25"/>
        <v>218</v>
      </c>
      <c r="K219" s="206" t="e">
        <f t="shared" si="22"/>
        <v>#NUM!</v>
      </c>
      <c r="L219" t="str">
        <f t="shared" si="23"/>
        <v/>
      </c>
      <c r="M219" t="str">
        <f t="shared" si="24"/>
        <v/>
      </c>
      <c r="N219" s="204" t="str">
        <f t="shared" si="26"/>
        <v/>
      </c>
      <c r="O219" s="204" t="str">
        <f t="shared" si="27"/>
        <v/>
      </c>
    </row>
    <row r="220" spans="1:15" x14ac:dyDescent="0.25">
      <c r="A220" s="206">
        <v>219</v>
      </c>
      <c r="B220" t="s">
        <v>411</v>
      </c>
      <c r="C220" t="s">
        <v>389</v>
      </c>
      <c r="D220" t="s">
        <v>269</v>
      </c>
      <c r="E220" t="str">
        <f t="shared" si="21"/>
        <v xml:space="preserve">ΚΡΗΤΗΣ - ΑΜΑΡΙΟΥ, </v>
      </c>
      <c r="F220" s="232" t="s">
        <v>793</v>
      </c>
      <c r="G220" s="232">
        <v>13966</v>
      </c>
      <c r="H220" t="str">
        <f>IFERROR(INDEX(DimosNaiOxi,MATCH(ΤΚ!E220,DimosNai,0)),"")</f>
        <v/>
      </c>
      <c r="I220" t="str">
        <f>LOOKUP(B220,ΠΕΡΙΦΕΡΕΙΑ!$A$2:$A$14,ΠΕΡΙΦΕΡΕΙΑ!$B$2:$B$14)</f>
        <v>Μερική</v>
      </c>
      <c r="J220" t="str">
        <f t="shared" si="25"/>
        <v/>
      </c>
      <c r="K220" s="206" t="e">
        <f t="shared" si="22"/>
        <v>#NUM!</v>
      </c>
      <c r="L220" t="str">
        <f t="shared" si="23"/>
        <v/>
      </c>
      <c r="M220" t="str">
        <f t="shared" si="24"/>
        <v/>
      </c>
      <c r="N220" s="204" t="str">
        <f t="shared" si="26"/>
        <v/>
      </c>
      <c r="O220" s="204" t="str">
        <f t="shared" si="27"/>
        <v/>
      </c>
    </row>
    <row r="221" spans="1:15" x14ac:dyDescent="0.25">
      <c r="A221" s="206">
        <v>220</v>
      </c>
      <c r="B221" t="s">
        <v>411</v>
      </c>
      <c r="C221" t="s">
        <v>389</v>
      </c>
      <c r="D221" t="s">
        <v>270</v>
      </c>
      <c r="E221" t="str">
        <f t="shared" si="21"/>
        <v xml:space="preserve">ΚΡΗΤΗΣ - ΑΝΩΓΕΙΩΝ, </v>
      </c>
      <c r="F221" s="232" t="s">
        <v>794</v>
      </c>
      <c r="G221" s="232">
        <v>13992</v>
      </c>
      <c r="H221" t="str">
        <f>IFERROR(INDEX(DimosNaiOxi,MATCH(ΤΚ!E221,DimosNai,0)),"")</f>
        <v>ΝΑΙ</v>
      </c>
      <c r="I221" t="str">
        <f>LOOKUP(B221,ΠΕΡΙΦΕΡΕΙΑ!$A$2:$A$14,ΠΕΡΙΦΕΡΕΙΑ!$B$2:$B$14)</f>
        <v>Μερική</v>
      </c>
      <c r="J221">
        <f t="shared" si="25"/>
        <v>220</v>
      </c>
      <c r="K221" s="206" t="e">
        <f t="shared" si="22"/>
        <v>#NUM!</v>
      </c>
      <c r="L221" t="str">
        <f t="shared" si="23"/>
        <v/>
      </c>
      <c r="M221" t="str">
        <f t="shared" si="24"/>
        <v/>
      </c>
      <c r="N221" s="204" t="str">
        <f t="shared" si="26"/>
        <v/>
      </c>
      <c r="O221" s="204" t="str">
        <f t="shared" si="27"/>
        <v/>
      </c>
    </row>
    <row r="222" spans="1:15" x14ac:dyDescent="0.25">
      <c r="A222" s="206">
        <v>221</v>
      </c>
      <c r="B222" t="s">
        <v>411</v>
      </c>
      <c r="C222" t="s">
        <v>279</v>
      </c>
      <c r="D222" t="s">
        <v>273</v>
      </c>
      <c r="E222" t="str">
        <f t="shared" si="21"/>
        <v xml:space="preserve">ΚΡΗΤΗΣ - ΑΠΟΚΟΡΩΝΟΥ, </v>
      </c>
      <c r="F222" s="232" t="s">
        <v>795</v>
      </c>
      <c r="G222" s="232">
        <v>13994</v>
      </c>
      <c r="H222" t="str">
        <f>IFERROR(INDEX(DimosNaiOxi,MATCH(ΤΚ!E222,DimosNai,0)),"")</f>
        <v>ΝΑΙ</v>
      </c>
      <c r="I222" t="str">
        <f>LOOKUP(B222,ΠΕΡΙΦΕΡΕΙΑ!$A$2:$A$14,ΠΕΡΙΦΕΡΕΙΑ!$B$2:$B$14)</f>
        <v>Μερική</v>
      </c>
      <c r="J222">
        <f t="shared" si="25"/>
        <v>221</v>
      </c>
      <c r="K222" s="206" t="e">
        <f t="shared" si="22"/>
        <v>#NUM!</v>
      </c>
      <c r="L222" t="str">
        <f t="shared" si="23"/>
        <v/>
      </c>
      <c r="M222" t="str">
        <f t="shared" si="24"/>
        <v/>
      </c>
      <c r="N222" s="204" t="str">
        <f t="shared" si="26"/>
        <v/>
      </c>
      <c r="O222" s="204" t="str">
        <f t="shared" si="27"/>
        <v/>
      </c>
    </row>
    <row r="223" spans="1:15" x14ac:dyDescent="0.25">
      <c r="A223" s="206">
        <v>222</v>
      </c>
      <c r="B223" t="s">
        <v>411</v>
      </c>
      <c r="C223" t="s">
        <v>79</v>
      </c>
      <c r="D223" t="s">
        <v>257</v>
      </c>
      <c r="E223" t="str">
        <f t="shared" si="21"/>
        <v xml:space="preserve">ΚΡΗΤΗΣ - ΑΡΧΑΝΩΝ – ΑΣΤΕΡΟΥΣΙΩΝ, </v>
      </c>
      <c r="F223" s="232" t="s">
        <v>796</v>
      </c>
      <c r="G223" s="232">
        <v>14006</v>
      </c>
      <c r="H223" t="str">
        <f>IFERROR(INDEX(DimosNaiOxi,MATCH(ΤΚ!E223,DimosNai,0)),"")</f>
        <v>ΝΑΙ</v>
      </c>
      <c r="I223" t="str">
        <f>LOOKUP(B223,ΠΕΡΙΦΕΡΕΙΑ!$A$2:$A$14,ΠΕΡΙΦΕΡΕΙΑ!$B$2:$B$14)</f>
        <v>Μερική</v>
      </c>
      <c r="J223">
        <f t="shared" si="25"/>
        <v>222</v>
      </c>
      <c r="K223" s="206" t="e">
        <f t="shared" si="22"/>
        <v>#NUM!</v>
      </c>
      <c r="L223" t="str">
        <f t="shared" si="23"/>
        <v/>
      </c>
      <c r="M223" t="str">
        <f t="shared" si="24"/>
        <v/>
      </c>
      <c r="N223" s="204" t="str">
        <f t="shared" si="26"/>
        <v/>
      </c>
      <c r="O223" s="204" t="str">
        <f t="shared" si="27"/>
        <v/>
      </c>
    </row>
    <row r="224" spans="1:15" x14ac:dyDescent="0.25">
      <c r="A224" s="206">
        <v>223</v>
      </c>
      <c r="B224" t="s">
        <v>411</v>
      </c>
      <c r="C224" t="s">
        <v>79</v>
      </c>
      <c r="D224" t="s">
        <v>258</v>
      </c>
      <c r="E224" t="str">
        <f t="shared" si="21"/>
        <v xml:space="preserve">ΚΡΗΤΗΣ - ΒΙΑΝΝΟΥ, </v>
      </c>
      <c r="F224" s="232" t="s">
        <v>797</v>
      </c>
      <c r="G224" s="232">
        <v>14028</v>
      </c>
      <c r="H224" t="str">
        <f>IFERROR(INDEX(DimosNaiOxi,MATCH(ΤΚ!E224,DimosNai,0)),"")</f>
        <v>ΝΑΙ</v>
      </c>
      <c r="I224" t="str">
        <f>LOOKUP(B224,ΠΕΡΙΦΕΡΕΙΑ!$A$2:$A$14,ΠΕΡΙΦΕΡΕΙΑ!$B$2:$B$14)</f>
        <v>Μερική</v>
      </c>
      <c r="J224">
        <f t="shared" si="25"/>
        <v>223</v>
      </c>
      <c r="K224" s="206" t="e">
        <f t="shared" si="22"/>
        <v>#NUM!</v>
      </c>
      <c r="L224" t="str">
        <f t="shared" si="23"/>
        <v/>
      </c>
      <c r="M224" t="str">
        <f t="shared" si="24"/>
        <v/>
      </c>
      <c r="N224" s="204" t="str">
        <f t="shared" si="26"/>
        <v/>
      </c>
      <c r="O224" s="204" t="str">
        <f t="shared" si="27"/>
        <v/>
      </c>
    </row>
    <row r="225" spans="1:15" x14ac:dyDescent="0.25">
      <c r="A225" s="206">
        <v>224</v>
      </c>
      <c r="B225" t="s">
        <v>411</v>
      </c>
      <c r="C225" t="s">
        <v>279</v>
      </c>
      <c r="D225" t="s">
        <v>274</v>
      </c>
      <c r="E225" t="str">
        <f t="shared" si="21"/>
        <v xml:space="preserve">ΚΡΗΤΗΣ - ΓΑΥΔΟΥ, </v>
      </c>
      <c r="F225" s="232" t="s">
        <v>798</v>
      </c>
      <c r="G225" s="232">
        <v>14040</v>
      </c>
      <c r="H225" t="str">
        <f>IFERROR(INDEX(DimosNaiOxi,MATCH(ΤΚ!E225,DimosNai,0)),"")</f>
        <v/>
      </c>
      <c r="I225" t="str">
        <f>LOOKUP(B225,ΠΕΡΙΦΕΡΕΙΑ!$A$2:$A$14,ΠΕΡΙΦΕΡΕΙΑ!$B$2:$B$14)</f>
        <v>Μερική</v>
      </c>
      <c r="J225" t="str">
        <f t="shared" si="25"/>
        <v/>
      </c>
      <c r="K225" s="206" t="e">
        <f t="shared" si="22"/>
        <v>#NUM!</v>
      </c>
      <c r="L225" t="str">
        <f t="shared" si="23"/>
        <v/>
      </c>
      <c r="M225" t="str">
        <f t="shared" si="24"/>
        <v/>
      </c>
      <c r="N225" s="204" t="str">
        <f t="shared" si="26"/>
        <v/>
      </c>
      <c r="O225" s="204" t="str">
        <f t="shared" si="27"/>
        <v/>
      </c>
    </row>
    <row r="226" spans="1:15" x14ac:dyDescent="0.25">
      <c r="A226" s="206">
        <v>225</v>
      </c>
      <c r="B226" t="s">
        <v>411</v>
      </c>
      <c r="C226" t="s">
        <v>79</v>
      </c>
      <c r="D226" t="s">
        <v>259</v>
      </c>
      <c r="E226" t="str">
        <f t="shared" si="21"/>
        <v xml:space="preserve">ΚΡΗΤΗΣ - ΓΟΡΤΥΝΑΣ, </v>
      </c>
      <c r="F226" s="232" t="s">
        <v>799</v>
      </c>
      <c r="G226" s="232">
        <v>14038</v>
      </c>
      <c r="H226" t="str">
        <f>IFERROR(INDEX(DimosNaiOxi,MATCH(ΤΚ!E226,DimosNai,0)),"")</f>
        <v>ΝΑΙ</v>
      </c>
      <c r="I226" t="str">
        <f>LOOKUP(B226,ΠΕΡΙΦΕΡΕΙΑ!$A$2:$A$14,ΠΕΡΙΦΕΡΕΙΑ!$B$2:$B$14)</f>
        <v>Μερική</v>
      </c>
      <c r="J226">
        <f t="shared" si="25"/>
        <v>225</v>
      </c>
      <c r="K226" s="206" t="e">
        <f t="shared" si="22"/>
        <v>#NUM!</v>
      </c>
      <c r="L226" t="str">
        <f t="shared" si="23"/>
        <v/>
      </c>
      <c r="M226" t="str">
        <f t="shared" si="24"/>
        <v/>
      </c>
      <c r="N226" s="204" t="str">
        <f t="shared" si="26"/>
        <v/>
      </c>
      <c r="O226" s="204" t="str">
        <f t="shared" si="27"/>
        <v/>
      </c>
    </row>
    <row r="227" spans="1:15" x14ac:dyDescent="0.25">
      <c r="A227" s="206">
        <v>226</v>
      </c>
      <c r="B227" t="s">
        <v>411</v>
      </c>
      <c r="C227" t="s">
        <v>79</v>
      </c>
      <c r="D227" t="s">
        <v>79</v>
      </c>
      <c r="E227" t="str">
        <f t="shared" si="21"/>
        <v xml:space="preserve">ΚΡΗΤΗΣ - ΗΡΑΚΛΕΙΟΥ, </v>
      </c>
      <c r="F227" s="232" t="s">
        <v>800</v>
      </c>
      <c r="G227" s="232">
        <v>14126</v>
      </c>
      <c r="H227" t="str">
        <f>IFERROR(INDEX(DimosNaiOxi,MATCH(ΤΚ!E227,DimosNai,0)),"")</f>
        <v>ΝΑΙ</v>
      </c>
      <c r="I227" t="str">
        <f>LOOKUP(B227,ΠΕΡΙΦΕΡΕΙΑ!$A$2:$A$14,ΠΕΡΙΦΕΡΕΙΑ!$B$2:$B$14)</f>
        <v>Μερική</v>
      </c>
      <c r="J227">
        <f t="shared" si="25"/>
        <v>226</v>
      </c>
      <c r="K227" s="206" t="e">
        <f t="shared" si="22"/>
        <v>#NUM!</v>
      </c>
      <c r="L227" t="str">
        <f t="shared" si="23"/>
        <v/>
      </c>
      <c r="M227" t="str">
        <f t="shared" si="24"/>
        <v/>
      </c>
      <c r="N227" s="204" t="str">
        <f t="shared" si="26"/>
        <v/>
      </c>
      <c r="O227" s="204" t="str">
        <f t="shared" si="27"/>
        <v/>
      </c>
    </row>
    <row r="228" spans="1:15" x14ac:dyDescent="0.25">
      <c r="A228" s="206">
        <v>227</v>
      </c>
      <c r="B228" t="s">
        <v>411</v>
      </c>
      <c r="C228" t="s">
        <v>388</v>
      </c>
      <c r="D228" t="s">
        <v>265</v>
      </c>
      <c r="E228" t="str">
        <f t="shared" si="21"/>
        <v xml:space="preserve">ΚΡΗΤΗΣ - ΙΕΡΑΠΕΤΡΑΣ, </v>
      </c>
      <c r="F228" s="232" t="s">
        <v>801</v>
      </c>
      <c r="G228" s="232">
        <v>14144</v>
      </c>
      <c r="H228" t="str">
        <f>IFERROR(INDEX(DimosNaiOxi,MATCH(ΤΚ!E228,DimosNai,0)),"")</f>
        <v>ΝΑΙ</v>
      </c>
      <c r="I228" t="str">
        <f>LOOKUP(B228,ΠΕΡΙΦΕΡΕΙΑ!$A$2:$A$14,ΠΕΡΙΦΕΡΕΙΑ!$B$2:$B$14)</f>
        <v>Μερική</v>
      </c>
      <c r="J228">
        <f t="shared" si="25"/>
        <v>227</v>
      </c>
      <c r="K228" s="206" t="e">
        <f t="shared" si="22"/>
        <v>#NUM!</v>
      </c>
      <c r="L228" t="str">
        <f t="shared" si="23"/>
        <v/>
      </c>
      <c r="M228" t="str">
        <f t="shared" si="24"/>
        <v/>
      </c>
      <c r="N228" s="204" t="str">
        <f t="shared" si="26"/>
        <v/>
      </c>
      <c r="O228" s="204" t="str">
        <f t="shared" si="27"/>
        <v/>
      </c>
    </row>
    <row r="229" spans="1:15" x14ac:dyDescent="0.25">
      <c r="A229" s="206">
        <v>228</v>
      </c>
      <c r="B229" t="s">
        <v>411</v>
      </c>
      <c r="C229" t="s">
        <v>279</v>
      </c>
      <c r="D229" t="s">
        <v>275</v>
      </c>
      <c r="E229" t="str">
        <f t="shared" si="21"/>
        <v xml:space="preserve">ΚΡΗΤΗΣ - ΚΑΝΤΑΝΟΥ – ΣΕΛΙΝΟΥ, </v>
      </c>
      <c r="F229" s="232" t="s">
        <v>802</v>
      </c>
      <c r="G229" s="232">
        <v>14190</v>
      </c>
      <c r="H229" t="str">
        <f>IFERROR(INDEX(DimosNaiOxi,MATCH(ΤΚ!E229,DimosNai,0)),"")</f>
        <v/>
      </c>
      <c r="I229" t="str">
        <f>LOOKUP(B229,ΠΕΡΙΦΕΡΕΙΑ!$A$2:$A$14,ΠΕΡΙΦΕΡΕΙΑ!$B$2:$B$14)</f>
        <v>Μερική</v>
      </c>
      <c r="J229" t="str">
        <f t="shared" si="25"/>
        <v/>
      </c>
      <c r="K229" s="206" t="e">
        <f t="shared" si="22"/>
        <v>#NUM!</v>
      </c>
      <c r="L229" t="str">
        <f t="shared" si="23"/>
        <v/>
      </c>
      <c r="M229" t="str">
        <f t="shared" si="24"/>
        <v/>
      </c>
      <c r="N229" s="204" t="str">
        <f t="shared" si="26"/>
        <v/>
      </c>
      <c r="O229" s="204" t="str">
        <f t="shared" si="27"/>
        <v/>
      </c>
    </row>
    <row r="230" spans="1:15" x14ac:dyDescent="0.25">
      <c r="A230" s="206">
        <v>229</v>
      </c>
      <c r="B230" t="s">
        <v>411</v>
      </c>
      <c r="C230" t="s">
        <v>279</v>
      </c>
      <c r="D230" t="s">
        <v>276</v>
      </c>
      <c r="E230" t="str">
        <f t="shared" si="21"/>
        <v xml:space="preserve">ΚΡΗΤΗΣ - ΚΙΣΣΑΜΟΥ, </v>
      </c>
      <c r="F230" s="232" t="s">
        <v>803</v>
      </c>
      <c r="G230" s="232">
        <v>14220</v>
      </c>
      <c r="H230" t="str">
        <f>IFERROR(INDEX(DimosNaiOxi,MATCH(ΤΚ!E230,DimosNai,0)),"")</f>
        <v/>
      </c>
      <c r="I230" t="str">
        <f>LOOKUP(B230,ΠΕΡΙΦΕΡΕΙΑ!$A$2:$A$14,ΠΕΡΙΦΕΡΕΙΑ!$B$2:$B$14)</f>
        <v>Μερική</v>
      </c>
      <c r="J230" t="str">
        <f t="shared" si="25"/>
        <v/>
      </c>
      <c r="K230" s="206" t="e">
        <f t="shared" si="22"/>
        <v>#NUM!</v>
      </c>
      <c r="L230" t="str">
        <f t="shared" si="23"/>
        <v/>
      </c>
      <c r="M230" t="str">
        <f t="shared" si="24"/>
        <v/>
      </c>
      <c r="N230" s="204" t="str">
        <f t="shared" si="26"/>
        <v/>
      </c>
      <c r="O230" s="204" t="str">
        <f t="shared" si="27"/>
        <v/>
      </c>
    </row>
    <row r="231" spans="1:15" x14ac:dyDescent="0.25">
      <c r="A231" s="206">
        <v>230</v>
      </c>
      <c r="B231" t="s">
        <v>411</v>
      </c>
      <c r="C231" t="s">
        <v>79</v>
      </c>
      <c r="D231" t="s">
        <v>260</v>
      </c>
      <c r="E231" t="str">
        <f t="shared" si="21"/>
        <v xml:space="preserve">ΚΡΗΤΗΣ - ΜΑΛΕΒΙΖΙΟΥ, </v>
      </c>
      <c r="F231" s="232" t="s">
        <v>804</v>
      </c>
      <c r="G231" s="232">
        <v>14276</v>
      </c>
      <c r="H231" t="str">
        <f>IFERROR(INDEX(DimosNaiOxi,MATCH(ΤΚ!E231,DimosNai,0)),"")</f>
        <v>ΝΑΙ</v>
      </c>
      <c r="I231" t="str">
        <f>LOOKUP(B231,ΠΕΡΙΦΕΡΕΙΑ!$A$2:$A$14,ΠΕΡΙΦΕΡΕΙΑ!$B$2:$B$14)</f>
        <v>Μερική</v>
      </c>
      <c r="J231">
        <f t="shared" si="25"/>
        <v>230</v>
      </c>
      <c r="K231" s="206" t="e">
        <f t="shared" si="22"/>
        <v>#NUM!</v>
      </c>
      <c r="L231" t="str">
        <f t="shared" si="23"/>
        <v/>
      </c>
      <c r="M231" t="str">
        <f t="shared" si="24"/>
        <v/>
      </c>
      <c r="N231" s="204" t="str">
        <f t="shared" si="26"/>
        <v/>
      </c>
      <c r="O231" s="204" t="str">
        <f t="shared" si="27"/>
        <v/>
      </c>
    </row>
    <row r="232" spans="1:15" x14ac:dyDescent="0.25">
      <c r="A232" s="206">
        <v>231</v>
      </c>
      <c r="B232" t="s">
        <v>411</v>
      </c>
      <c r="C232" t="s">
        <v>79</v>
      </c>
      <c r="D232" t="s">
        <v>261</v>
      </c>
      <c r="E232" t="str">
        <f t="shared" si="21"/>
        <v xml:space="preserve">ΚΡΗΤΗΣ - ΜΙΝΩΑ ΠΕΔΙΑΔΑΣ, </v>
      </c>
      <c r="F232" s="232" t="s">
        <v>805</v>
      </c>
      <c r="G232" s="232">
        <v>14300</v>
      </c>
      <c r="H232" t="str">
        <f>IFERROR(INDEX(DimosNaiOxi,MATCH(ΤΚ!E232,DimosNai,0)),"")</f>
        <v>ΝΑΙ</v>
      </c>
      <c r="I232" t="str">
        <f>LOOKUP(B232,ΠΕΡΙΦΕΡΕΙΑ!$A$2:$A$14,ΠΕΡΙΦΕΡΕΙΑ!$B$2:$B$14)</f>
        <v>Μερική</v>
      </c>
      <c r="J232">
        <f t="shared" si="25"/>
        <v>231</v>
      </c>
      <c r="K232" s="206" t="e">
        <f t="shared" si="22"/>
        <v>#NUM!</v>
      </c>
      <c r="L232" t="str">
        <f t="shared" si="23"/>
        <v/>
      </c>
      <c r="M232" t="str">
        <f t="shared" si="24"/>
        <v/>
      </c>
      <c r="N232" s="204" t="str">
        <f t="shared" si="26"/>
        <v/>
      </c>
      <c r="O232" s="204" t="str">
        <f t="shared" si="27"/>
        <v/>
      </c>
    </row>
    <row r="233" spans="1:15" x14ac:dyDescent="0.25">
      <c r="A233" s="206">
        <v>232</v>
      </c>
      <c r="B233" t="s">
        <v>411</v>
      </c>
      <c r="C233" t="s">
        <v>389</v>
      </c>
      <c r="D233" t="s">
        <v>271</v>
      </c>
      <c r="E233" t="str">
        <f t="shared" si="21"/>
        <v xml:space="preserve">ΚΡΗΤΗΣ - ΜΥΛΟΠΟΤΑΜΟΥ, </v>
      </c>
      <c r="F233" s="232" t="s">
        <v>806</v>
      </c>
      <c r="G233" s="232">
        <v>14310</v>
      </c>
      <c r="H233" t="str">
        <f>IFERROR(INDEX(DimosNaiOxi,MATCH(ΤΚ!E233,DimosNai,0)),"")</f>
        <v>ΝΑΙ</v>
      </c>
      <c r="I233" t="str">
        <f>LOOKUP(B233,ΠΕΡΙΦΕΡΕΙΑ!$A$2:$A$14,ΠΕΡΙΦΕΡΕΙΑ!$B$2:$B$14)</f>
        <v>Μερική</v>
      </c>
      <c r="J233">
        <f t="shared" si="25"/>
        <v>232</v>
      </c>
      <c r="K233" s="206" t="e">
        <f t="shared" si="22"/>
        <v>#NUM!</v>
      </c>
      <c r="L233" t="str">
        <f t="shared" si="23"/>
        <v/>
      </c>
      <c r="M233" t="str">
        <f t="shared" si="24"/>
        <v/>
      </c>
      <c r="N233" s="204" t="str">
        <f t="shared" si="26"/>
        <v/>
      </c>
      <c r="O233" s="204" t="str">
        <f t="shared" si="27"/>
        <v/>
      </c>
    </row>
    <row r="234" spans="1:15" x14ac:dyDescent="0.25">
      <c r="A234" s="206">
        <v>233</v>
      </c>
      <c r="B234" t="s">
        <v>411</v>
      </c>
      <c r="C234" t="s">
        <v>388</v>
      </c>
      <c r="D234" t="s">
        <v>266</v>
      </c>
      <c r="E234" t="str">
        <f t="shared" si="21"/>
        <v xml:space="preserve">ΚΡΗΤΗΣ - ΟΡΟΠΕΔΙΟΥ ΛΑΣΙΘΙΟΥ, </v>
      </c>
      <c r="F234" s="232" t="s">
        <v>807</v>
      </c>
      <c r="G234" s="232">
        <v>14360</v>
      </c>
      <c r="H234" t="str">
        <f>IFERROR(INDEX(DimosNaiOxi,MATCH(ΤΚ!E234,DimosNai,0)),"")</f>
        <v/>
      </c>
      <c r="I234" t="str">
        <f>LOOKUP(B234,ΠΕΡΙΦΕΡΕΙΑ!$A$2:$A$14,ΠΕΡΙΦΕΡΕΙΑ!$B$2:$B$14)</f>
        <v>Μερική</v>
      </c>
      <c r="J234" t="str">
        <f t="shared" si="25"/>
        <v/>
      </c>
      <c r="K234" s="206" t="e">
        <f t="shared" si="22"/>
        <v>#NUM!</v>
      </c>
      <c r="L234" t="str">
        <f t="shared" si="23"/>
        <v/>
      </c>
      <c r="M234" t="str">
        <f t="shared" si="24"/>
        <v/>
      </c>
      <c r="N234" s="204" t="str">
        <f t="shared" si="26"/>
        <v/>
      </c>
      <c r="O234" s="204" t="str">
        <f t="shared" si="27"/>
        <v/>
      </c>
    </row>
    <row r="235" spans="1:15" x14ac:dyDescent="0.25">
      <c r="A235" s="206">
        <v>234</v>
      </c>
      <c r="B235" t="s">
        <v>411</v>
      </c>
      <c r="C235" t="s">
        <v>279</v>
      </c>
      <c r="D235" t="s">
        <v>277</v>
      </c>
      <c r="E235" t="str">
        <f t="shared" si="21"/>
        <v xml:space="preserve">ΚΡΗΤΗΣ - ΠΛΑΤΑΝΙΑ, </v>
      </c>
      <c r="F235" s="232" t="s">
        <v>808</v>
      </c>
      <c r="G235" s="232">
        <v>14416</v>
      </c>
      <c r="H235" t="str">
        <f>IFERROR(INDEX(DimosNaiOxi,MATCH(ΤΚ!E235,DimosNai,0)),"")</f>
        <v>ΝΑΙ</v>
      </c>
      <c r="I235" t="str">
        <f>LOOKUP(B235,ΠΕΡΙΦΕΡΕΙΑ!$A$2:$A$14,ΠΕΡΙΦΕΡΕΙΑ!$B$2:$B$14)</f>
        <v>Μερική</v>
      </c>
      <c r="J235">
        <f t="shared" si="25"/>
        <v>234</v>
      </c>
      <c r="K235" s="206" t="e">
        <f t="shared" si="22"/>
        <v>#NUM!</v>
      </c>
      <c r="L235" t="str">
        <f t="shared" si="23"/>
        <v/>
      </c>
      <c r="M235" t="str">
        <f t="shared" si="24"/>
        <v/>
      </c>
      <c r="N235" s="204" t="str">
        <f t="shared" si="26"/>
        <v/>
      </c>
      <c r="O235" s="204" t="str">
        <f t="shared" si="27"/>
        <v/>
      </c>
    </row>
    <row r="236" spans="1:15" x14ac:dyDescent="0.25">
      <c r="A236" s="206">
        <v>235</v>
      </c>
      <c r="B236" t="s">
        <v>411</v>
      </c>
      <c r="C236" t="s">
        <v>389</v>
      </c>
      <c r="D236" t="s">
        <v>272</v>
      </c>
      <c r="E236" t="str">
        <f t="shared" si="21"/>
        <v xml:space="preserve">ΚΡΗΤΗΣ - ΡΕΘΥΜΝΗΣ, </v>
      </c>
      <c r="F236" s="232" t="s">
        <v>809</v>
      </c>
      <c r="G236" s="232">
        <v>14436</v>
      </c>
      <c r="H236" t="str">
        <f>IFERROR(INDEX(DimosNaiOxi,MATCH(ΤΚ!E236,DimosNai,0)),"")</f>
        <v>ΝΑΙ</v>
      </c>
      <c r="I236" t="str">
        <f>LOOKUP(B236,ΠΕΡΙΦΕΡΕΙΑ!$A$2:$A$14,ΠΕΡΙΦΕΡΕΙΑ!$B$2:$B$14)</f>
        <v>Μερική</v>
      </c>
      <c r="J236">
        <f t="shared" si="25"/>
        <v>235</v>
      </c>
      <c r="K236" s="206" t="e">
        <f t="shared" si="22"/>
        <v>#NUM!</v>
      </c>
      <c r="L236" t="str">
        <f t="shared" si="23"/>
        <v/>
      </c>
      <c r="M236" t="str">
        <f t="shared" si="24"/>
        <v/>
      </c>
      <c r="N236" s="204" t="str">
        <f t="shared" si="26"/>
        <v/>
      </c>
      <c r="O236" s="204" t="str">
        <f t="shared" si="27"/>
        <v/>
      </c>
    </row>
    <row r="237" spans="1:15" x14ac:dyDescent="0.25">
      <c r="A237" s="206">
        <v>236</v>
      </c>
      <c r="B237" t="s">
        <v>411</v>
      </c>
      <c r="C237" t="s">
        <v>388</v>
      </c>
      <c r="D237" t="s">
        <v>267</v>
      </c>
      <c r="E237" t="str">
        <f t="shared" si="21"/>
        <v xml:space="preserve">ΚΡΗΤΗΣ - ΣΗΤΕΙΑΣ, </v>
      </c>
      <c r="F237" s="232" t="s">
        <v>810</v>
      </c>
      <c r="G237" s="232">
        <v>14458</v>
      </c>
      <c r="H237" t="str">
        <f>IFERROR(INDEX(DimosNaiOxi,MATCH(ΤΚ!E237,DimosNai,0)),"")</f>
        <v>ΝΑΙ</v>
      </c>
      <c r="I237" t="str">
        <f>LOOKUP(B237,ΠΕΡΙΦΕΡΕΙΑ!$A$2:$A$14,ΠΕΡΙΦΕΡΕΙΑ!$B$2:$B$14)</f>
        <v>Μερική</v>
      </c>
      <c r="J237">
        <f t="shared" si="25"/>
        <v>236</v>
      </c>
      <c r="K237" s="206" t="e">
        <f t="shared" si="22"/>
        <v>#NUM!</v>
      </c>
      <c r="L237" t="str">
        <f t="shared" si="23"/>
        <v/>
      </c>
      <c r="M237" t="str">
        <f t="shared" si="24"/>
        <v/>
      </c>
      <c r="N237" s="204" t="str">
        <f t="shared" si="26"/>
        <v/>
      </c>
      <c r="O237" s="204" t="str">
        <f t="shared" si="27"/>
        <v/>
      </c>
    </row>
    <row r="238" spans="1:15" x14ac:dyDescent="0.25">
      <c r="A238" s="206">
        <v>237</v>
      </c>
      <c r="B238" t="s">
        <v>411</v>
      </c>
      <c r="C238" t="s">
        <v>279</v>
      </c>
      <c r="D238" t="s">
        <v>278</v>
      </c>
      <c r="E238" t="str">
        <f t="shared" si="21"/>
        <v xml:space="preserve">ΚΡΗΤΗΣ - ΣΦΑΚΙΩΝ, </v>
      </c>
      <c r="F238" s="232" t="s">
        <v>811</v>
      </c>
      <c r="G238" s="232">
        <v>14490</v>
      </c>
      <c r="H238" t="str">
        <f>IFERROR(INDEX(DimosNaiOxi,MATCH(ΤΚ!E238,DimosNai,0)),"")</f>
        <v/>
      </c>
      <c r="I238" t="str">
        <f>LOOKUP(B238,ΠΕΡΙΦΕΡΕΙΑ!$A$2:$A$14,ΠΕΡΙΦΕΡΕΙΑ!$B$2:$B$14)</f>
        <v>Μερική</v>
      </c>
      <c r="J238" t="str">
        <f t="shared" si="25"/>
        <v/>
      </c>
      <c r="K238" s="206" t="e">
        <f t="shared" si="22"/>
        <v>#NUM!</v>
      </c>
      <c r="L238" t="str">
        <f t="shared" si="23"/>
        <v/>
      </c>
      <c r="M238" t="str">
        <f t="shared" si="24"/>
        <v/>
      </c>
      <c r="N238" s="204" t="str">
        <f t="shared" si="26"/>
        <v/>
      </c>
      <c r="O238" s="204" t="str">
        <f t="shared" si="27"/>
        <v/>
      </c>
    </row>
    <row r="239" spans="1:15" x14ac:dyDescent="0.25">
      <c r="A239" s="206">
        <v>238</v>
      </c>
      <c r="B239" t="s">
        <v>411</v>
      </c>
      <c r="C239" t="s">
        <v>79</v>
      </c>
      <c r="D239" t="s">
        <v>262</v>
      </c>
      <c r="E239" t="str">
        <f t="shared" si="21"/>
        <v xml:space="preserve">ΚΡΗΤΗΣ - ΦΑΙΣΤΟΥ, </v>
      </c>
      <c r="F239" s="232" t="s">
        <v>812</v>
      </c>
      <c r="G239" s="232">
        <v>14512</v>
      </c>
      <c r="H239" t="str">
        <f>IFERROR(INDEX(DimosNaiOxi,MATCH(ΤΚ!E239,DimosNai,0)),"")</f>
        <v>ΝΑΙ</v>
      </c>
      <c r="I239" t="str">
        <f>LOOKUP(B239,ΠΕΡΙΦΕΡΕΙΑ!$A$2:$A$14,ΠΕΡΙΦΕΡΕΙΑ!$B$2:$B$14)</f>
        <v>Μερική</v>
      </c>
      <c r="J239">
        <f t="shared" si="25"/>
        <v>238</v>
      </c>
      <c r="K239" s="206" t="e">
        <f t="shared" si="22"/>
        <v>#NUM!</v>
      </c>
      <c r="L239" t="str">
        <f t="shared" si="23"/>
        <v/>
      </c>
      <c r="M239" t="str">
        <f t="shared" si="24"/>
        <v/>
      </c>
      <c r="N239" s="204" t="str">
        <f t="shared" si="26"/>
        <v/>
      </c>
      <c r="O239" s="204" t="str">
        <f t="shared" si="27"/>
        <v/>
      </c>
    </row>
    <row r="240" spans="1:15" x14ac:dyDescent="0.25">
      <c r="A240" s="206">
        <v>239</v>
      </c>
      <c r="B240" t="s">
        <v>411</v>
      </c>
      <c r="C240" t="s">
        <v>279</v>
      </c>
      <c r="D240" t="s">
        <v>279</v>
      </c>
      <c r="E240" t="str">
        <f t="shared" si="21"/>
        <v xml:space="preserve">ΚΡΗΤΗΣ - ΧΑΝΙΩΝ, </v>
      </c>
      <c r="F240" s="232" t="s">
        <v>813</v>
      </c>
      <c r="G240" s="232">
        <v>14542</v>
      </c>
      <c r="H240" t="str">
        <f>IFERROR(INDEX(DimosNaiOxi,MATCH(ΤΚ!E240,DimosNai,0)),"")</f>
        <v>ΝΑΙ</v>
      </c>
      <c r="I240" t="str">
        <f>LOOKUP(B240,ΠΕΡΙΦΕΡΕΙΑ!$A$2:$A$14,ΠΕΡΙΦΕΡΕΙΑ!$B$2:$B$14)</f>
        <v>Μερική</v>
      </c>
      <c r="J240">
        <f t="shared" si="25"/>
        <v>239</v>
      </c>
      <c r="K240" s="206" t="e">
        <f t="shared" si="22"/>
        <v>#NUM!</v>
      </c>
      <c r="L240" t="str">
        <f t="shared" si="23"/>
        <v/>
      </c>
      <c r="M240" t="str">
        <f t="shared" si="24"/>
        <v/>
      </c>
      <c r="N240" s="204" t="str">
        <f t="shared" si="26"/>
        <v/>
      </c>
      <c r="O240" s="204" t="str">
        <f t="shared" si="27"/>
        <v/>
      </c>
    </row>
    <row r="241" spans="1:15" x14ac:dyDescent="0.25">
      <c r="A241" s="206">
        <v>240</v>
      </c>
      <c r="B241" t="s">
        <v>411</v>
      </c>
      <c r="C241" t="s">
        <v>79</v>
      </c>
      <c r="D241" t="s">
        <v>263</v>
      </c>
      <c r="E241" t="str">
        <f t="shared" si="21"/>
        <v xml:space="preserve">ΚΡΗΤΗΣ - ΧΕΡΣΟΝΗΣΟΥ, </v>
      </c>
      <c r="F241" s="232" t="s">
        <v>814</v>
      </c>
      <c r="G241" s="232">
        <v>14546</v>
      </c>
      <c r="H241" t="str">
        <f>IFERROR(INDEX(DimosNaiOxi,MATCH(ΤΚ!E241,DimosNai,0)),"")</f>
        <v>ΝΑΙ</v>
      </c>
      <c r="I241" t="str">
        <f>LOOKUP(B241,ΠΕΡΙΦΕΡΕΙΑ!$A$2:$A$14,ΠΕΡΙΦΕΡΕΙΑ!$B$2:$B$14)</f>
        <v>Μερική</v>
      </c>
      <c r="J241">
        <f t="shared" si="25"/>
        <v>240</v>
      </c>
      <c r="K241" s="206" t="e">
        <f t="shared" si="22"/>
        <v>#NUM!</v>
      </c>
      <c r="L241" t="str">
        <f t="shared" si="23"/>
        <v/>
      </c>
      <c r="M241" t="str">
        <f t="shared" si="24"/>
        <v/>
      </c>
      <c r="N241" s="204" t="str">
        <f t="shared" si="26"/>
        <v/>
      </c>
      <c r="O241" s="204" t="str">
        <f t="shared" si="27"/>
        <v/>
      </c>
    </row>
    <row r="242" spans="1:15" x14ac:dyDescent="0.25">
      <c r="A242" s="206">
        <v>241</v>
      </c>
      <c r="B242" t="s">
        <v>412</v>
      </c>
      <c r="C242" t="s">
        <v>390</v>
      </c>
      <c r="D242" t="s">
        <v>286</v>
      </c>
      <c r="E242" t="str">
        <f t="shared" si="21"/>
        <v xml:space="preserve">ΝΟΤΙΟΥ ΑΙΓΑΙΟΥ - ΑΓΑΘΟΝΗΣΙΟΥ, </v>
      </c>
      <c r="F242" s="232" t="s">
        <v>815</v>
      </c>
      <c r="G242" s="232">
        <v>13936</v>
      </c>
      <c r="H242" t="str">
        <f>IFERROR(INDEX(DimosNaiOxi,MATCH(ΤΚ!E242,DimosNai,0)),"")</f>
        <v/>
      </c>
      <c r="I242" t="str">
        <f>LOOKUP(B242,ΠΕΡΙΦΕΡΕΙΑ!$A$2:$A$14,ΠΕΡΙΦΕΡΕΙΑ!$B$2:$B$14)</f>
        <v>Καθόλου</v>
      </c>
      <c r="J242" t="str">
        <f t="shared" si="25"/>
        <v/>
      </c>
      <c r="K242" s="206" t="e">
        <f t="shared" si="22"/>
        <v>#NUM!</v>
      </c>
      <c r="L242" t="str">
        <f t="shared" si="23"/>
        <v/>
      </c>
      <c r="M242" t="str">
        <f t="shared" si="24"/>
        <v/>
      </c>
      <c r="N242" s="204" t="str">
        <f t="shared" si="26"/>
        <v/>
      </c>
      <c r="O242" s="204" t="str">
        <f t="shared" si="27"/>
        <v/>
      </c>
    </row>
    <row r="243" spans="1:15" x14ac:dyDescent="0.25">
      <c r="A243" s="206">
        <v>242</v>
      </c>
      <c r="B243" t="s">
        <v>412</v>
      </c>
      <c r="C243" t="s">
        <v>392</v>
      </c>
      <c r="D243" t="s">
        <v>303</v>
      </c>
      <c r="E243" t="str">
        <f t="shared" si="21"/>
        <v xml:space="preserve">ΝΟΤΙΟΥ ΑΙΓΑΙΟΥ - ΑΜΟΡΓΟΥ, </v>
      </c>
      <c r="F243" s="232" t="s">
        <v>816</v>
      </c>
      <c r="G243" s="232">
        <v>13970</v>
      </c>
      <c r="H243" t="str">
        <f>IFERROR(INDEX(DimosNaiOxi,MATCH(ΤΚ!E243,DimosNai,0)),"")</f>
        <v/>
      </c>
      <c r="I243" t="str">
        <f>LOOKUP(B243,ΠΕΡΙΦΕΡΕΙΑ!$A$2:$A$14,ΠΕΡΙΦΕΡΕΙΑ!$B$2:$B$14)</f>
        <v>Καθόλου</v>
      </c>
      <c r="J243" t="str">
        <f t="shared" si="25"/>
        <v/>
      </c>
      <c r="K243" s="206" t="e">
        <f t="shared" si="22"/>
        <v>#NUM!</v>
      </c>
      <c r="L243" t="str">
        <f t="shared" si="23"/>
        <v/>
      </c>
      <c r="M243" t="str">
        <f t="shared" si="24"/>
        <v/>
      </c>
      <c r="N243" s="204" t="str">
        <f t="shared" si="26"/>
        <v/>
      </c>
      <c r="O243" s="204" t="str">
        <f t="shared" si="27"/>
        <v/>
      </c>
    </row>
    <row r="244" spans="1:15" x14ac:dyDescent="0.25">
      <c r="A244" s="206">
        <v>243</v>
      </c>
      <c r="B244" t="s">
        <v>412</v>
      </c>
      <c r="C244" t="s">
        <v>282</v>
      </c>
      <c r="D244" t="s">
        <v>281</v>
      </c>
      <c r="E244" t="str">
        <f t="shared" si="21"/>
        <v xml:space="preserve">ΝΟΤΙΟΥ ΑΙΓΑΙΟΥ - ΑΝΑΦΗΣ, </v>
      </c>
      <c r="F244" s="232" t="s">
        <v>817</v>
      </c>
      <c r="G244" s="232">
        <v>13982</v>
      </c>
      <c r="H244" t="str">
        <f>IFERROR(INDEX(DimosNaiOxi,MATCH(ΤΚ!E244,DimosNai,0)),"")</f>
        <v/>
      </c>
      <c r="I244" t="str">
        <f>LOOKUP(B244,ΠΕΡΙΦΕΡΕΙΑ!$A$2:$A$14,ΠΕΡΙΦΕΡΕΙΑ!$B$2:$B$14)</f>
        <v>Καθόλου</v>
      </c>
      <c r="J244" t="str">
        <f t="shared" si="25"/>
        <v/>
      </c>
      <c r="K244" s="206" t="e">
        <f t="shared" si="22"/>
        <v>#NUM!</v>
      </c>
      <c r="L244" t="str">
        <f t="shared" si="23"/>
        <v/>
      </c>
      <c r="M244" t="str">
        <f t="shared" si="24"/>
        <v/>
      </c>
      <c r="N244" s="204" t="str">
        <f t="shared" si="26"/>
        <v/>
      </c>
      <c r="O244" s="204" t="str">
        <f t="shared" si="27"/>
        <v/>
      </c>
    </row>
    <row r="245" spans="1:15" x14ac:dyDescent="0.25">
      <c r="A245" s="206">
        <v>244</v>
      </c>
      <c r="B245" t="s">
        <v>412</v>
      </c>
      <c r="C245" t="s">
        <v>280</v>
      </c>
      <c r="D245" t="s">
        <v>280</v>
      </c>
      <c r="E245" t="str">
        <f t="shared" si="21"/>
        <v xml:space="preserve">ΝΟΤΙΟΥ ΑΙΓΑΙΟΥ - ΑΝΔΡΟΥ, </v>
      </c>
      <c r="F245" s="232" t="s">
        <v>818</v>
      </c>
      <c r="G245" s="232">
        <v>13908</v>
      </c>
      <c r="H245" t="str">
        <f>IFERROR(INDEX(DimosNaiOxi,MATCH(ΤΚ!E245,DimosNai,0)),"")</f>
        <v/>
      </c>
      <c r="I245" t="str">
        <f>LOOKUP(B245,ΠΕΡΙΦΕΡΕΙΑ!$A$2:$A$14,ΠΕΡΙΦΕΡΕΙΑ!$B$2:$B$14)</f>
        <v>Καθόλου</v>
      </c>
      <c r="J245" t="str">
        <f t="shared" si="25"/>
        <v/>
      </c>
      <c r="K245" s="206" t="e">
        <f t="shared" si="22"/>
        <v>#NUM!</v>
      </c>
      <c r="L245" t="str">
        <f t="shared" si="23"/>
        <v/>
      </c>
      <c r="M245" t="str">
        <f t="shared" si="24"/>
        <v/>
      </c>
      <c r="N245" s="204" t="str">
        <f t="shared" si="26"/>
        <v/>
      </c>
      <c r="O245" s="204" t="str">
        <f t="shared" si="27"/>
        <v/>
      </c>
    </row>
    <row r="246" spans="1:15" x14ac:dyDescent="0.25">
      <c r="A246" s="206">
        <v>245</v>
      </c>
      <c r="B246" t="s">
        <v>412</v>
      </c>
      <c r="C246" t="s">
        <v>306</v>
      </c>
      <c r="D246" t="s">
        <v>305</v>
      </c>
      <c r="E246" t="str">
        <f t="shared" si="21"/>
        <v xml:space="preserve">ΝΟΤΙΟΥ ΑΙΓΑΙΟΥ - ΑΝΤΙΠΑΡΟΥ, </v>
      </c>
      <c r="F246" s="232" t="s">
        <v>819</v>
      </c>
      <c r="G246" s="232">
        <v>13990</v>
      </c>
      <c r="H246" t="str">
        <f>IFERROR(INDEX(DimosNaiOxi,MATCH(ΤΚ!E246,DimosNai,0)),"")</f>
        <v/>
      </c>
      <c r="I246" t="str">
        <f>LOOKUP(B246,ΠΕΡΙΦΕΡΕΙΑ!$A$2:$A$14,ΠΕΡΙΦΕΡΕΙΑ!$B$2:$B$14)</f>
        <v>Καθόλου</v>
      </c>
      <c r="J246" t="str">
        <f t="shared" si="25"/>
        <v/>
      </c>
      <c r="K246" s="206" t="e">
        <f t="shared" si="22"/>
        <v>#NUM!</v>
      </c>
      <c r="L246" t="str">
        <f t="shared" si="23"/>
        <v/>
      </c>
      <c r="M246" t="str">
        <f t="shared" si="24"/>
        <v/>
      </c>
      <c r="N246" s="204" t="str">
        <f t="shared" si="26"/>
        <v/>
      </c>
      <c r="O246" s="204" t="str">
        <f t="shared" si="27"/>
        <v/>
      </c>
    </row>
    <row r="247" spans="1:15" x14ac:dyDescent="0.25">
      <c r="A247" s="206">
        <v>246</v>
      </c>
      <c r="B247" t="s">
        <v>412</v>
      </c>
      <c r="C247" t="s">
        <v>390</v>
      </c>
      <c r="D247" t="s">
        <v>287</v>
      </c>
      <c r="E247" t="str">
        <f t="shared" si="21"/>
        <v xml:space="preserve">ΝΟΤΙΟΥ ΑΙΓΑΙΟΥ - ΑΣΤΥΠΑΛΑΙΑΣ, </v>
      </c>
      <c r="F247" s="232" t="s">
        <v>820</v>
      </c>
      <c r="G247" s="232">
        <v>14010</v>
      </c>
      <c r="H247" t="str">
        <f>IFERROR(INDEX(DimosNaiOxi,MATCH(ΤΚ!E247,DimosNai,0)),"")</f>
        <v/>
      </c>
      <c r="I247" t="str">
        <f>LOOKUP(B247,ΠΕΡΙΦΕΡΕΙΑ!$A$2:$A$14,ΠΕΡΙΦΕΡΕΙΑ!$B$2:$B$14)</f>
        <v>Καθόλου</v>
      </c>
      <c r="J247" t="str">
        <f t="shared" si="25"/>
        <v/>
      </c>
      <c r="K247" s="206" t="e">
        <f t="shared" si="22"/>
        <v>#NUM!</v>
      </c>
      <c r="L247" t="str">
        <f t="shared" si="23"/>
        <v/>
      </c>
      <c r="M247" t="str">
        <f t="shared" si="24"/>
        <v/>
      </c>
      <c r="N247" s="204" t="str">
        <f t="shared" si="26"/>
        <v/>
      </c>
      <c r="O247" s="204" t="str">
        <f t="shared" si="27"/>
        <v/>
      </c>
    </row>
    <row r="248" spans="1:15" x14ac:dyDescent="0.25">
      <c r="A248" s="206">
        <v>247</v>
      </c>
      <c r="B248" t="s">
        <v>412</v>
      </c>
      <c r="C248" t="s">
        <v>282</v>
      </c>
      <c r="D248" t="s">
        <v>282</v>
      </c>
      <c r="E248" t="str">
        <f t="shared" si="21"/>
        <v xml:space="preserve">ΝΟΤΙΟΥ ΑΙΓΑΙΟΥ - ΘΗΡΑΣ, </v>
      </c>
      <c r="F248" s="232" t="s">
        <v>821</v>
      </c>
      <c r="G248" s="232">
        <v>14134</v>
      </c>
      <c r="H248" t="str">
        <f>IFERROR(INDEX(DimosNaiOxi,MATCH(ΤΚ!E248,DimosNai,0)),"")</f>
        <v/>
      </c>
      <c r="I248" t="str">
        <f>LOOKUP(B248,ΠΕΡΙΦΕΡΕΙΑ!$A$2:$A$14,ΠΕΡΙΦΕΡΕΙΑ!$B$2:$B$14)</f>
        <v>Καθόλου</v>
      </c>
      <c r="J248" t="str">
        <f t="shared" si="25"/>
        <v/>
      </c>
      <c r="K248" s="206" t="e">
        <f t="shared" si="22"/>
        <v>#NUM!</v>
      </c>
      <c r="L248" t="str">
        <f t="shared" si="23"/>
        <v/>
      </c>
      <c r="M248" t="str">
        <f t="shared" si="24"/>
        <v/>
      </c>
      <c r="N248" s="204" t="str">
        <f t="shared" si="26"/>
        <v/>
      </c>
      <c r="O248" s="204" t="str">
        <f t="shared" si="27"/>
        <v/>
      </c>
    </row>
    <row r="249" spans="1:15" x14ac:dyDescent="0.25">
      <c r="A249" s="206">
        <v>248</v>
      </c>
      <c r="B249" t="s">
        <v>412</v>
      </c>
      <c r="C249" t="s">
        <v>282</v>
      </c>
      <c r="D249" t="s">
        <v>283</v>
      </c>
      <c r="E249" t="str">
        <f t="shared" si="21"/>
        <v xml:space="preserve">ΝΟΤΙΟΥ ΑΙΓΑΙΟΥ - ΙΗΤΩΝ, </v>
      </c>
      <c r="F249" s="232" t="s">
        <v>822</v>
      </c>
      <c r="G249" s="232">
        <v>14148</v>
      </c>
      <c r="H249" t="str">
        <f>IFERROR(INDEX(DimosNaiOxi,MATCH(ΤΚ!E249,DimosNai,0)),"")</f>
        <v/>
      </c>
      <c r="I249" t="str">
        <f>LOOKUP(B249,ΠΕΡΙΦΕΡΕΙΑ!$A$2:$A$14,ΠΕΡΙΦΕΡΕΙΑ!$B$2:$B$14)</f>
        <v>Καθόλου</v>
      </c>
      <c r="J249" t="str">
        <f t="shared" si="25"/>
        <v/>
      </c>
      <c r="K249" s="206" t="e">
        <f t="shared" si="22"/>
        <v>#NUM!</v>
      </c>
      <c r="L249" t="str">
        <f t="shared" si="23"/>
        <v/>
      </c>
      <c r="M249" t="str">
        <f t="shared" si="24"/>
        <v/>
      </c>
      <c r="N249" s="204" t="str">
        <f t="shared" si="26"/>
        <v/>
      </c>
      <c r="O249" s="204" t="str">
        <f t="shared" si="27"/>
        <v/>
      </c>
    </row>
    <row r="250" spans="1:15" x14ac:dyDescent="0.25">
      <c r="A250" s="206">
        <v>249</v>
      </c>
      <c r="B250" t="s">
        <v>412</v>
      </c>
      <c r="C250" t="s">
        <v>390</v>
      </c>
      <c r="D250" t="s">
        <v>288</v>
      </c>
      <c r="E250" t="str">
        <f t="shared" si="21"/>
        <v xml:space="preserve">ΝΟΤΙΟΥ ΑΙΓΑΙΟΥ - ΚΑΛΥΜΝΙΩΝ, </v>
      </c>
      <c r="F250" s="232" t="s">
        <v>823</v>
      </c>
      <c r="G250" s="232">
        <v>14188</v>
      </c>
      <c r="H250" t="str">
        <f>IFERROR(INDEX(DimosNaiOxi,MATCH(ΤΚ!E250,DimosNai,0)),"")</f>
        <v/>
      </c>
      <c r="I250" t="str">
        <f>LOOKUP(B250,ΠΕΡΙΦΕΡΕΙΑ!$A$2:$A$14,ΠΕΡΙΦΕΡΕΙΑ!$B$2:$B$14)</f>
        <v>Καθόλου</v>
      </c>
      <c r="J250" t="str">
        <f t="shared" si="25"/>
        <v/>
      </c>
      <c r="K250" s="206" t="e">
        <f t="shared" si="22"/>
        <v>#NUM!</v>
      </c>
      <c r="L250" t="str">
        <f t="shared" si="23"/>
        <v/>
      </c>
      <c r="M250" t="str">
        <f t="shared" si="24"/>
        <v/>
      </c>
      <c r="N250" s="204" t="str">
        <f t="shared" si="26"/>
        <v/>
      </c>
      <c r="O250" s="204" t="str">
        <f t="shared" si="27"/>
        <v/>
      </c>
    </row>
    <row r="251" spans="1:15" x14ac:dyDescent="0.25">
      <c r="A251" s="206">
        <v>250</v>
      </c>
      <c r="B251" t="s">
        <v>412</v>
      </c>
      <c r="C251" t="s">
        <v>292</v>
      </c>
      <c r="D251" t="s">
        <v>292</v>
      </c>
      <c r="E251" t="str">
        <f t="shared" si="21"/>
        <v xml:space="preserve">ΝΟΤΙΟΥ ΑΙΓΑΙΟΥ - ΚΑΡΠΑΘΟΥ, </v>
      </c>
      <c r="F251" s="232" t="s">
        <v>824</v>
      </c>
      <c r="G251" s="232">
        <v>14196</v>
      </c>
      <c r="H251" t="str">
        <f>IFERROR(INDEX(DimosNaiOxi,MATCH(ΤΚ!E251,DimosNai,0)),"")</f>
        <v/>
      </c>
      <c r="I251" t="str">
        <f>LOOKUP(B251,ΠΕΡΙΦΕΡΕΙΑ!$A$2:$A$14,ΠΕΡΙΦΕΡΕΙΑ!$B$2:$B$14)</f>
        <v>Καθόλου</v>
      </c>
      <c r="J251" t="str">
        <f t="shared" si="25"/>
        <v/>
      </c>
      <c r="K251" s="206" t="e">
        <f t="shared" si="22"/>
        <v>#NUM!</v>
      </c>
      <c r="L251" t="str">
        <f t="shared" si="23"/>
        <v/>
      </c>
      <c r="M251" t="str">
        <f t="shared" si="24"/>
        <v/>
      </c>
      <c r="N251" s="204" t="str">
        <f t="shared" si="26"/>
        <v/>
      </c>
      <c r="O251" s="204" t="str">
        <f t="shared" si="27"/>
        <v/>
      </c>
    </row>
    <row r="252" spans="1:15" x14ac:dyDescent="0.25">
      <c r="A252" s="206">
        <v>251</v>
      </c>
      <c r="B252" t="s">
        <v>412</v>
      </c>
      <c r="C252" t="s">
        <v>292</v>
      </c>
      <c r="D252" t="s">
        <v>293</v>
      </c>
      <c r="E252" t="str">
        <f t="shared" si="21"/>
        <v xml:space="preserve">ΝΟΤΙΟΥ ΑΙΓΑΙΟΥ - ΚΑΣΟΥ, </v>
      </c>
      <c r="F252" s="232" t="s">
        <v>825</v>
      </c>
      <c r="G252" s="232">
        <v>14160</v>
      </c>
      <c r="H252" t="str">
        <f>IFERROR(INDEX(DimosNaiOxi,MATCH(ΤΚ!E252,DimosNai,0)),"")</f>
        <v/>
      </c>
      <c r="I252" t="str">
        <f>LOOKUP(B252,ΠΕΡΙΦΕΡΕΙΑ!$A$2:$A$14,ΠΕΡΙΦΕΡΕΙΑ!$B$2:$B$14)</f>
        <v>Καθόλου</v>
      </c>
      <c r="J252" t="str">
        <f t="shared" si="25"/>
        <v/>
      </c>
      <c r="K252" s="206" t="e">
        <f t="shared" si="22"/>
        <v>#NUM!</v>
      </c>
      <c r="L252" t="str">
        <f t="shared" si="23"/>
        <v/>
      </c>
      <c r="M252" t="str">
        <f t="shared" si="24"/>
        <v/>
      </c>
      <c r="N252" s="204" t="str">
        <f t="shared" si="26"/>
        <v/>
      </c>
      <c r="O252" s="204" t="str">
        <f t="shared" si="27"/>
        <v/>
      </c>
    </row>
    <row r="253" spans="1:15" x14ac:dyDescent="0.25">
      <c r="A253" s="206">
        <v>252</v>
      </c>
      <c r="B253" t="s">
        <v>412</v>
      </c>
      <c r="C253" t="s">
        <v>391</v>
      </c>
      <c r="D253" t="s">
        <v>294</v>
      </c>
      <c r="E253" t="str">
        <f t="shared" si="21"/>
        <v xml:space="preserve">ΝΟΤΙΟΥ ΑΙΓΑΙΟΥ - ΚΕΑΣ, </v>
      </c>
      <c r="F253" s="232" t="s">
        <v>826</v>
      </c>
      <c r="G253" s="232">
        <v>14164</v>
      </c>
      <c r="H253" t="str">
        <f>IFERROR(INDEX(DimosNaiOxi,MATCH(ΤΚ!E253,DimosNai,0)),"")</f>
        <v/>
      </c>
      <c r="I253" t="str">
        <f>LOOKUP(B253,ΠΕΡΙΦΕΡΕΙΑ!$A$2:$A$14,ΠΕΡΙΦΕΡΕΙΑ!$B$2:$B$14)</f>
        <v>Καθόλου</v>
      </c>
      <c r="J253" t="str">
        <f t="shared" si="25"/>
        <v/>
      </c>
      <c r="K253" s="206" t="e">
        <f t="shared" si="22"/>
        <v>#NUM!</v>
      </c>
      <c r="L253" t="str">
        <f t="shared" si="23"/>
        <v/>
      </c>
      <c r="M253" t="str">
        <f t="shared" si="24"/>
        <v/>
      </c>
      <c r="N253" s="204" t="str">
        <f t="shared" si="26"/>
        <v/>
      </c>
      <c r="O253" s="204" t="str">
        <f t="shared" si="27"/>
        <v/>
      </c>
    </row>
    <row r="254" spans="1:15" x14ac:dyDescent="0.25">
      <c r="A254" s="206">
        <v>253</v>
      </c>
      <c r="B254" t="s">
        <v>412</v>
      </c>
      <c r="C254" t="s">
        <v>299</v>
      </c>
      <c r="D254" t="s">
        <v>298</v>
      </c>
      <c r="E254" t="str">
        <f t="shared" si="21"/>
        <v xml:space="preserve">ΝΟΤΙΟΥ ΑΙΓΑΙΟΥ - ΚΙΜΩΛΟΥ, </v>
      </c>
      <c r="F254" s="232" t="s">
        <v>827</v>
      </c>
      <c r="G254" s="232">
        <v>14218</v>
      </c>
      <c r="H254" t="str">
        <f>IFERROR(INDEX(DimosNaiOxi,MATCH(ΤΚ!E254,DimosNai,0)),"")</f>
        <v/>
      </c>
      <c r="I254" t="str">
        <f>LOOKUP(B254,ΠΕΡΙΦΕΡΕΙΑ!$A$2:$A$14,ΠΕΡΙΦΕΡΕΙΑ!$B$2:$B$14)</f>
        <v>Καθόλου</v>
      </c>
      <c r="J254" t="str">
        <f t="shared" si="25"/>
        <v/>
      </c>
      <c r="K254" s="206" t="e">
        <f t="shared" si="22"/>
        <v>#NUM!</v>
      </c>
      <c r="L254" t="str">
        <f t="shared" si="23"/>
        <v/>
      </c>
      <c r="M254" t="str">
        <f t="shared" si="24"/>
        <v/>
      </c>
      <c r="N254" s="204" t="str">
        <f t="shared" si="26"/>
        <v/>
      </c>
      <c r="O254" s="204" t="str">
        <f t="shared" si="27"/>
        <v/>
      </c>
    </row>
    <row r="255" spans="1:15" x14ac:dyDescent="0.25">
      <c r="A255" s="206">
        <v>254</v>
      </c>
      <c r="B255" t="s">
        <v>412</v>
      </c>
      <c r="C255" t="s">
        <v>391</v>
      </c>
      <c r="D255" t="s">
        <v>295</v>
      </c>
      <c r="E255" t="str">
        <f t="shared" si="21"/>
        <v xml:space="preserve">ΝΟΤΙΟΥ ΑΙΓΑΙΟΥ - ΚΥΘΝΟΥ, </v>
      </c>
      <c r="F255" s="232" t="s">
        <v>828</v>
      </c>
      <c r="G255" s="232">
        <v>14170</v>
      </c>
      <c r="H255" t="str">
        <f>IFERROR(INDEX(DimosNaiOxi,MATCH(ΤΚ!E255,DimosNai,0)),"")</f>
        <v/>
      </c>
      <c r="I255" t="str">
        <f>LOOKUP(B255,ΠΕΡΙΦΕΡΕΙΑ!$A$2:$A$14,ΠΕΡΙΦΕΡΕΙΑ!$B$2:$B$14)</f>
        <v>Καθόλου</v>
      </c>
      <c r="J255" t="str">
        <f t="shared" si="25"/>
        <v/>
      </c>
      <c r="K255" s="206" t="e">
        <f t="shared" si="22"/>
        <v>#NUM!</v>
      </c>
      <c r="L255" t="str">
        <f t="shared" si="23"/>
        <v/>
      </c>
      <c r="M255" t="str">
        <f t="shared" si="24"/>
        <v/>
      </c>
      <c r="N255" s="204" t="str">
        <f t="shared" si="26"/>
        <v/>
      </c>
      <c r="O255" s="204" t="str">
        <f t="shared" si="27"/>
        <v/>
      </c>
    </row>
    <row r="256" spans="1:15" x14ac:dyDescent="0.25">
      <c r="A256" s="206">
        <v>255</v>
      </c>
      <c r="B256" t="s">
        <v>412</v>
      </c>
      <c r="C256" t="s">
        <v>296</v>
      </c>
      <c r="D256" t="s">
        <v>296</v>
      </c>
      <c r="E256" t="str">
        <f t="shared" si="21"/>
        <v xml:space="preserve">ΝΟΤΙΟΥ ΑΙΓΑΙΟΥ - ΚΩ, </v>
      </c>
      <c r="F256" s="232" t="s">
        <v>829</v>
      </c>
      <c r="G256" s="232">
        <v>14236</v>
      </c>
      <c r="H256" t="str">
        <f>IFERROR(INDEX(DimosNaiOxi,MATCH(ΤΚ!E256,DimosNai,0)),"")</f>
        <v/>
      </c>
      <c r="I256" t="str">
        <f>LOOKUP(B256,ΠΕΡΙΦΕΡΕΙΑ!$A$2:$A$14,ΠΕΡΙΦΕΡΕΙΑ!$B$2:$B$14)</f>
        <v>Καθόλου</v>
      </c>
      <c r="J256" t="str">
        <f t="shared" si="25"/>
        <v/>
      </c>
      <c r="K256" s="206" t="e">
        <f t="shared" si="22"/>
        <v>#NUM!</v>
      </c>
      <c r="L256" t="str">
        <f t="shared" si="23"/>
        <v/>
      </c>
      <c r="M256" t="str">
        <f t="shared" si="24"/>
        <v/>
      </c>
      <c r="N256" s="204" t="str">
        <f t="shared" si="26"/>
        <v/>
      </c>
      <c r="O256" s="204" t="str">
        <f t="shared" si="27"/>
        <v/>
      </c>
    </row>
    <row r="257" spans="1:15" x14ac:dyDescent="0.25">
      <c r="A257" s="206">
        <v>256</v>
      </c>
      <c r="B257" t="s">
        <v>412</v>
      </c>
      <c r="C257" t="s">
        <v>390</v>
      </c>
      <c r="D257" t="s">
        <v>289</v>
      </c>
      <c r="E257" t="str">
        <f t="shared" si="21"/>
        <v xml:space="preserve">ΝΟΤΙΟΥ ΑΙΓΑΙΟΥ - ΛΕΙΨΩΝ, </v>
      </c>
      <c r="F257" s="232" t="s">
        <v>830</v>
      </c>
      <c r="G257" s="232">
        <v>14256</v>
      </c>
      <c r="H257" t="str">
        <f>IFERROR(INDEX(DimosNaiOxi,MATCH(ΤΚ!E257,DimosNai,0)),"")</f>
        <v/>
      </c>
      <c r="I257" t="str">
        <f>LOOKUP(B257,ΠΕΡΙΦΕΡΕΙΑ!$A$2:$A$14,ΠΕΡΙΦΕΡΕΙΑ!$B$2:$B$14)</f>
        <v>Καθόλου</v>
      </c>
      <c r="J257" t="str">
        <f t="shared" si="25"/>
        <v/>
      </c>
      <c r="K257" s="206" t="e">
        <f t="shared" si="22"/>
        <v>#NUM!</v>
      </c>
      <c r="L257" t="str">
        <f t="shared" si="23"/>
        <v/>
      </c>
      <c r="M257" t="str">
        <f t="shared" si="24"/>
        <v/>
      </c>
      <c r="N257" s="204" t="str">
        <f t="shared" si="26"/>
        <v/>
      </c>
      <c r="O257" s="204" t="str">
        <f t="shared" si="27"/>
        <v/>
      </c>
    </row>
    <row r="258" spans="1:15" x14ac:dyDescent="0.25">
      <c r="A258" s="206">
        <v>257</v>
      </c>
      <c r="B258" t="s">
        <v>412</v>
      </c>
      <c r="C258" t="s">
        <v>390</v>
      </c>
      <c r="D258" t="s">
        <v>290</v>
      </c>
      <c r="E258" t="str">
        <f t="shared" ref="E258:E321" si="28">B258&amp;" - "&amp;D258&amp;", "</f>
        <v xml:space="preserve">ΝΟΤΙΟΥ ΑΙΓΑΙΟΥ - ΛΕΡΟΥ, </v>
      </c>
      <c r="F258" s="232" t="s">
        <v>831</v>
      </c>
      <c r="G258" s="232">
        <v>14238</v>
      </c>
      <c r="H258" t="str">
        <f>IFERROR(INDEX(DimosNaiOxi,MATCH(ΤΚ!E258,DimosNai,0)),"")</f>
        <v/>
      </c>
      <c r="I258" t="str">
        <f>LOOKUP(B258,ΠΕΡΙΦΕΡΕΙΑ!$A$2:$A$14,ΠΕΡΙΦΕΡΕΙΑ!$B$2:$B$14)</f>
        <v>Καθόλου</v>
      </c>
      <c r="J258" t="str">
        <f t="shared" si="25"/>
        <v/>
      </c>
      <c r="K258" s="206" t="e">
        <f t="shared" ref="K258:K321" si="29">SMALL(J:J,A258)</f>
        <v>#NUM!</v>
      </c>
      <c r="L258" t="str">
        <f t="shared" ref="L258:L321" si="30">IF(ISNUMBER(K258),LOOKUP(K258,A:A,B:B),"")</f>
        <v/>
      </c>
      <c r="M258" t="str">
        <f t="shared" ref="M258:M326" si="31">IF(ISNUMBER(K258),LOOKUP(K258,A:A,B:B)&amp;" - "&amp;LOOKUP(K258,A:A,D:D),"")</f>
        <v/>
      </c>
      <c r="N258" s="204" t="str">
        <f t="shared" si="26"/>
        <v/>
      </c>
      <c r="O258" s="204" t="str">
        <f t="shared" si="27"/>
        <v/>
      </c>
    </row>
    <row r="259" spans="1:15" x14ac:dyDescent="0.25">
      <c r="A259" s="206">
        <v>258</v>
      </c>
      <c r="B259" t="s">
        <v>412</v>
      </c>
      <c r="C259" t="s">
        <v>308</v>
      </c>
      <c r="D259" t="s">
        <v>307</v>
      </c>
      <c r="E259" t="str">
        <f t="shared" si="28"/>
        <v xml:space="preserve">ΝΟΤΙΟΥ ΑΙΓΑΙΟΥ - ΜΕΓΙΣΤΗΣ, </v>
      </c>
      <c r="F259" s="232" t="s">
        <v>832</v>
      </c>
      <c r="G259" s="232">
        <v>14286</v>
      </c>
      <c r="H259" t="str">
        <f>IFERROR(INDEX(DimosNaiOxi,MATCH(ΤΚ!E259,DimosNai,0)),"")</f>
        <v/>
      </c>
      <c r="I259" t="str">
        <f>LOOKUP(B259,ΠΕΡΙΦΕΡΕΙΑ!$A$2:$A$14,ΠΕΡΙΦΕΡΕΙΑ!$B$2:$B$14)</f>
        <v>Καθόλου</v>
      </c>
      <c r="J259" t="str">
        <f t="shared" ref="J259:J322" si="32">IF(OR(AND(I259="Μερική",H259="ΝΑΙ"),I259="Ολική"),A259,"")</f>
        <v/>
      </c>
      <c r="K259" s="206" t="e">
        <f t="shared" si="29"/>
        <v>#NUM!</v>
      </c>
      <c r="L259" t="str">
        <f t="shared" si="30"/>
        <v/>
      </c>
      <c r="M259" t="str">
        <f t="shared" si="31"/>
        <v/>
      </c>
      <c r="N259" s="204" t="str">
        <f t="shared" ref="N259:N322" si="33">IF(ISNUMBER(K259),LOOKUP(K259,A:A,G:G),"")</f>
        <v/>
      </c>
      <c r="O259" s="204" t="str">
        <f t="shared" ref="O259:O322" si="34">IF(ISNUMBER(K259),LOOKUP(K259,A:A,F:F),"")</f>
        <v/>
      </c>
    </row>
    <row r="260" spans="1:15" x14ac:dyDescent="0.25">
      <c r="A260" s="206">
        <v>259</v>
      </c>
      <c r="B260" t="s">
        <v>412</v>
      </c>
      <c r="C260" t="s">
        <v>299</v>
      </c>
      <c r="D260" t="s">
        <v>299</v>
      </c>
      <c r="E260" t="str">
        <f t="shared" si="28"/>
        <v xml:space="preserve">ΝΟΤΙΟΥ ΑΙΓΑΙΟΥ - ΜΗΛΟΥ, </v>
      </c>
      <c r="F260" s="232" t="s">
        <v>833</v>
      </c>
      <c r="G260" s="232">
        <v>14268</v>
      </c>
      <c r="H260" t="str">
        <f>IFERROR(INDEX(DimosNaiOxi,MATCH(ΤΚ!E260,DimosNai,0)),"")</f>
        <v/>
      </c>
      <c r="I260" t="str">
        <f>LOOKUP(B260,ΠΕΡΙΦΕΡΕΙΑ!$A$2:$A$14,ΠΕΡΙΦΕΡΕΙΑ!$B$2:$B$14)</f>
        <v>Καθόλου</v>
      </c>
      <c r="J260" t="str">
        <f t="shared" si="32"/>
        <v/>
      </c>
      <c r="K260" s="206" t="e">
        <f t="shared" si="29"/>
        <v>#NUM!</v>
      </c>
      <c r="L260" t="str">
        <f t="shared" si="30"/>
        <v/>
      </c>
      <c r="M260" t="str">
        <f t="shared" si="31"/>
        <v/>
      </c>
      <c r="N260" s="204" t="str">
        <f t="shared" si="33"/>
        <v/>
      </c>
      <c r="O260" s="204" t="str">
        <f t="shared" si="34"/>
        <v/>
      </c>
    </row>
    <row r="261" spans="1:15" x14ac:dyDescent="0.25">
      <c r="A261" s="206">
        <v>260</v>
      </c>
      <c r="B261" t="s">
        <v>412</v>
      </c>
      <c r="C261" t="s">
        <v>302</v>
      </c>
      <c r="D261" t="s">
        <v>302</v>
      </c>
      <c r="E261" t="str">
        <f t="shared" si="28"/>
        <v xml:space="preserve">ΝΟΤΙΟΥ ΑΙΓΑΙΟΥ - ΜΥΚΟΝΟΥ, </v>
      </c>
      <c r="F261" s="232" t="s">
        <v>834</v>
      </c>
      <c r="G261" s="232">
        <v>14308</v>
      </c>
      <c r="H261" t="str">
        <f>IFERROR(INDEX(DimosNaiOxi,MATCH(ΤΚ!E261,DimosNai,0)),"")</f>
        <v/>
      </c>
      <c r="I261" t="str">
        <f>LOOKUP(B261,ΠΕΡΙΦΕΡΕΙΑ!$A$2:$A$14,ΠΕΡΙΦΕΡΕΙΑ!$B$2:$B$14)</f>
        <v>Καθόλου</v>
      </c>
      <c r="J261" t="str">
        <f t="shared" si="32"/>
        <v/>
      </c>
      <c r="K261" s="206" t="e">
        <f t="shared" si="29"/>
        <v>#NUM!</v>
      </c>
      <c r="L261" t="str">
        <f t="shared" si="30"/>
        <v/>
      </c>
      <c r="M261" t="str">
        <f t="shared" si="31"/>
        <v/>
      </c>
      <c r="N261" s="204" t="str">
        <f t="shared" si="33"/>
        <v/>
      </c>
      <c r="O261" s="204" t="str">
        <f t="shared" si="34"/>
        <v/>
      </c>
    </row>
    <row r="262" spans="1:15" x14ac:dyDescent="0.25">
      <c r="A262" s="206">
        <v>261</v>
      </c>
      <c r="B262" t="s">
        <v>412</v>
      </c>
      <c r="C262" t="s">
        <v>392</v>
      </c>
      <c r="D262" t="s">
        <v>304</v>
      </c>
      <c r="E262" t="str">
        <f t="shared" si="28"/>
        <v xml:space="preserve">ΝΟΤΙΟΥ ΑΙΓΑΙΟΥ - ΝΑΞΟΥ ΚΑΙ ΜΙΚΡΩΝ ΚΥΚΛΑΔΩΝ, </v>
      </c>
      <c r="F262" s="232" t="s">
        <v>835</v>
      </c>
      <c r="G262" s="232">
        <v>14312</v>
      </c>
      <c r="H262" t="str">
        <f>IFERROR(INDEX(DimosNaiOxi,MATCH(ΤΚ!E262,DimosNai,0)),"")</f>
        <v/>
      </c>
      <c r="I262" t="str">
        <f>LOOKUP(B262,ΠΕΡΙΦΕΡΕΙΑ!$A$2:$A$14,ΠΕΡΙΦΕΡΕΙΑ!$B$2:$B$14)</f>
        <v>Καθόλου</v>
      </c>
      <c r="J262" t="str">
        <f t="shared" si="32"/>
        <v/>
      </c>
      <c r="K262" s="206" t="e">
        <f t="shared" si="29"/>
        <v>#NUM!</v>
      </c>
      <c r="L262" t="str">
        <f t="shared" si="30"/>
        <v/>
      </c>
      <c r="M262" t="str">
        <f t="shared" si="31"/>
        <v/>
      </c>
      <c r="N262" s="204" t="str">
        <f t="shared" si="33"/>
        <v/>
      </c>
      <c r="O262" s="204" t="str">
        <f t="shared" si="34"/>
        <v/>
      </c>
    </row>
    <row r="263" spans="1:15" x14ac:dyDescent="0.25">
      <c r="A263" s="206">
        <v>262</v>
      </c>
      <c r="B263" t="s">
        <v>412</v>
      </c>
      <c r="C263" t="s">
        <v>296</v>
      </c>
      <c r="D263" t="s">
        <v>297</v>
      </c>
      <c r="E263" t="str">
        <f t="shared" si="28"/>
        <v xml:space="preserve">ΝΟΤΙΟΥ ΑΙΓΑΙΟΥ - ΝΙΣΥΡΟΥ, </v>
      </c>
      <c r="F263" s="232" t="s">
        <v>836</v>
      </c>
      <c r="G263" s="232">
        <v>14342</v>
      </c>
      <c r="H263" t="str">
        <f>IFERROR(INDEX(DimosNaiOxi,MATCH(ΤΚ!E263,DimosNai,0)),"")</f>
        <v/>
      </c>
      <c r="I263" t="str">
        <f>LOOKUP(B263,ΠΕΡΙΦΕΡΕΙΑ!$A$2:$A$14,ΠΕΡΙΦΕΡΕΙΑ!$B$2:$B$14)</f>
        <v>Καθόλου</v>
      </c>
      <c r="J263" t="str">
        <f t="shared" si="32"/>
        <v/>
      </c>
      <c r="K263" s="206" t="e">
        <f t="shared" si="29"/>
        <v>#NUM!</v>
      </c>
      <c r="L263" t="str">
        <f t="shared" si="30"/>
        <v/>
      </c>
      <c r="M263" t="str">
        <f t="shared" si="31"/>
        <v/>
      </c>
      <c r="N263" s="204" t="str">
        <f t="shared" si="33"/>
        <v/>
      </c>
      <c r="O263" s="204" t="str">
        <f t="shared" si="34"/>
        <v/>
      </c>
    </row>
    <row r="264" spans="1:15" x14ac:dyDescent="0.25">
      <c r="A264" s="206">
        <v>263</v>
      </c>
      <c r="B264" t="s">
        <v>412</v>
      </c>
      <c r="C264" t="s">
        <v>306</v>
      </c>
      <c r="D264" t="s">
        <v>306</v>
      </c>
      <c r="E264" t="str">
        <f t="shared" si="28"/>
        <v xml:space="preserve">ΝΟΤΙΟΥ ΑΙΓΑΙΟΥ - ΠΑΡΟΥ, </v>
      </c>
      <c r="F264" s="232" t="s">
        <v>837</v>
      </c>
      <c r="G264" s="232">
        <v>14366</v>
      </c>
      <c r="H264" t="str">
        <f>IFERROR(INDEX(DimosNaiOxi,MATCH(ΤΚ!E264,DimosNai,0)),"")</f>
        <v/>
      </c>
      <c r="I264" t="str">
        <f>LOOKUP(B264,ΠΕΡΙΦΕΡΕΙΑ!$A$2:$A$14,ΠΕΡΙΦΕΡΕΙΑ!$B$2:$B$14)</f>
        <v>Καθόλου</v>
      </c>
      <c r="J264" t="str">
        <f t="shared" si="32"/>
        <v/>
      </c>
      <c r="K264" s="206" t="e">
        <f t="shared" si="29"/>
        <v>#NUM!</v>
      </c>
      <c r="L264" t="str">
        <f t="shared" si="30"/>
        <v/>
      </c>
      <c r="M264" t="str">
        <f t="shared" si="31"/>
        <v/>
      </c>
      <c r="N264" s="204" t="str">
        <f t="shared" si="33"/>
        <v/>
      </c>
      <c r="O264" s="204" t="str">
        <f t="shared" si="34"/>
        <v/>
      </c>
    </row>
    <row r="265" spans="1:15" x14ac:dyDescent="0.25">
      <c r="A265" s="206">
        <v>264</v>
      </c>
      <c r="B265" t="s">
        <v>412</v>
      </c>
      <c r="C265" t="s">
        <v>390</v>
      </c>
      <c r="D265" t="s">
        <v>291</v>
      </c>
      <c r="E265" t="str">
        <f t="shared" si="28"/>
        <v xml:space="preserve">ΝΟΤΙΟΥ ΑΙΓΑΙΟΥ - ΠΑΤΜΟΥ, </v>
      </c>
      <c r="F265" s="232" t="s">
        <v>838</v>
      </c>
      <c r="G265" s="232">
        <v>14368</v>
      </c>
      <c r="H265" t="str">
        <f>IFERROR(INDEX(DimosNaiOxi,MATCH(ΤΚ!E265,DimosNai,0)),"")</f>
        <v/>
      </c>
      <c r="I265" t="str">
        <f>LOOKUP(B265,ΠΕΡΙΦΕΡΕΙΑ!$A$2:$A$14,ΠΕΡΙΦΕΡΕΙΑ!$B$2:$B$14)</f>
        <v>Καθόλου</v>
      </c>
      <c r="J265" t="str">
        <f t="shared" si="32"/>
        <v/>
      </c>
      <c r="K265" s="206" t="e">
        <f t="shared" si="29"/>
        <v>#NUM!</v>
      </c>
      <c r="L265" t="str">
        <f t="shared" si="30"/>
        <v/>
      </c>
      <c r="M265" t="str">
        <f t="shared" si="31"/>
        <v/>
      </c>
      <c r="N265" s="204" t="str">
        <f t="shared" si="33"/>
        <v/>
      </c>
      <c r="O265" s="204" t="str">
        <f t="shared" si="34"/>
        <v/>
      </c>
    </row>
    <row r="266" spans="1:15" x14ac:dyDescent="0.25">
      <c r="A266" s="206">
        <v>265</v>
      </c>
      <c r="B266" t="s">
        <v>412</v>
      </c>
      <c r="C266" t="s">
        <v>308</v>
      </c>
      <c r="D266" t="s">
        <v>308</v>
      </c>
      <c r="E266" t="str">
        <f t="shared" si="28"/>
        <v xml:space="preserve">ΝΟΤΙΟΥ ΑΙΓΑΙΟΥ - ΡΟΔΟΥ, </v>
      </c>
      <c r="F266" s="232" t="s">
        <v>839</v>
      </c>
      <c r="G266" s="232">
        <v>14432</v>
      </c>
      <c r="H266" t="str">
        <f>IFERROR(INDEX(DimosNaiOxi,MATCH(ΤΚ!E266,DimosNai,0)),"")</f>
        <v/>
      </c>
      <c r="I266" t="str">
        <f>LOOKUP(B266,ΠΕΡΙΦΕΡΕΙΑ!$A$2:$A$14,ΠΕΡΙΦΕΡΕΙΑ!$B$2:$B$14)</f>
        <v>Καθόλου</v>
      </c>
      <c r="J266" t="str">
        <f t="shared" si="32"/>
        <v/>
      </c>
      <c r="K266" s="206" t="e">
        <f t="shared" si="29"/>
        <v>#NUM!</v>
      </c>
      <c r="L266" t="str">
        <f t="shared" si="30"/>
        <v/>
      </c>
      <c r="M266" t="str">
        <f t="shared" si="31"/>
        <v/>
      </c>
      <c r="N266" s="204" t="str">
        <f t="shared" si="33"/>
        <v/>
      </c>
      <c r="O266" s="204" t="str">
        <f t="shared" si="34"/>
        <v/>
      </c>
    </row>
    <row r="267" spans="1:15" x14ac:dyDescent="0.25">
      <c r="A267" s="206">
        <v>266</v>
      </c>
      <c r="B267" t="s">
        <v>412</v>
      </c>
      <c r="C267" t="s">
        <v>299</v>
      </c>
      <c r="D267" t="s">
        <v>300</v>
      </c>
      <c r="E267" t="str">
        <f t="shared" si="28"/>
        <v xml:space="preserve">ΝΟΤΙΟΥ ΑΙΓΑΙΟΥ - ΣΕΡΙΦΟΥ, </v>
      </c>
      <c r="F267" s="232" t="s">
        <v>840</v>
      </c>
      <c r="G267" s="232">
        <v>14452</v>
      </c>
      <c r="H267" t="str">
        <f>IFERROR(INDEX(DimosNaiOxi,MATCH(ΤΚ!E267,DimosNai,0)),"")</f>
        <v/>
      </c>
      <c r="I267" t="str">
        <f>LOOKUP(B267,ΠΕΡΙΦΕΡΕΙΑ!$A$2:$A$14,ΠΕΡΙΦΕΡΕΙΑ!$B$2:$B$14)</f>
        <v>Καθόλου</v>
      </c>
      <c r="J267" t="str">
        <f t="shared" si="32"/>
        <v/>
      </c>
      <c r="K267" s="206" t="e">
        <f t="shared" si="29"/>
        <v>#NUM!</v>
      </c>
      <c r="L267" t="str">
        <f t="shared" si="30"/>
        <v/>
      </c>
      <c r="M267" t="str">
        <f t="shared" si="31"/>
        <v/>
      </c>
      <c r="N267" s="204" t="str">
        <f t="shared" si="33"/>
        <v/>
      </c>
      <c r="O267" s="204" t="str">
        <f t="shared" si="34"/>
        <v/>
      </c>
    </row>
    <row r="268" spans="1:15" x14ac:dyDescent="0.25">
      <c r="A268" s="206">
        <v>267</v>
      </c>
      <c r="B268" t="s">
        <v>412</v>
      </c>
      <c r="C268" t="s">
        <v>282</v>
      </c>
      <c r="D268" t="s">
        <v>284</v>
      </c>
      <c r="E268" t="str">
        <f t="shared" si="28"/>
        <v xml:space="preserve">ΝΟΤΙΟΥ ΑΙΓΑΙΟΥ - ΣΙΚΙΝΟΥ, </v>
      </c>
      <c r="F268" s="232" t="s">
        <v>841</v>
      </c>
      <c r="G268" s="232">
        <v>14462</v>
      </c>
      <c r="H268" t="str">
        <f>IFERROR(INDEX(DimosNaiOxi,MATCH(ΤΚ!E268,DimosNai,0)),"")</f>
        <v/>
      </c>
      <c r="I268" t="str">
        <f>LOOKUP(B268,ΠΕΡΙΦΕΡΕΙΑ!$A$2:$A$14,ΠΕΡΙΦΕΡΕΙΑ!$B$2:$B$14)</f>
        <v>Καθόλου</v>
      </c>
      <c r="J268" t="str">
        <f t="shared" si="32"/>
        <v/>
      </c>
      <c r="K268" s="206" t="e">
        <f t="shared" si="29"/>
        <v>#NUM!</v>
      </c>
      <c r="L268" t="str">
        <f t="shared" si="30"/>
        <v/>
      </c>
      <c r="M268" t="str">
        <f t="shared" si="31"/>
        <v/>
      </c>
      <c r="N268" s="204" t="str">
        <f t="shared" si="33"/>
        <v/>
      </c>
      <c r="O268" s="204" t="str">
        <f t="shared" si="34"/>
        <v/>
      </c>
    </row>
    <row r="269" spans="1:15" x14ac:dyDescent="0.25">
      <c r="A269" s="206">
        <v>268</v>
      </c>
      <c r="B269" t="s">
        <v>412</v>
      </c>
      <c r="C269" t="s">
        <v>299</v>
      </c>
      <c r="D269" t="s">
        <v>301</v>
      </c>
      <c r="E269" t="str">
        <f t="shared" si="28"/>
        <v xml:space="preserve">ΝΟΤΙΟΥ ΑΙΓΑΙΟΥ - ΣΙΦΝΟΥ, </v>
      </c>
      <c r="F269" s="232" t="s">
        <v>842</v>
      </c>
      <c r="G269" s="232">
        <v>14440</v>
      </c>
      <c r="H269" t="str">
        <f>IFERROR(INDEX(DimosNaiOxi,MATCH(ΤΚ!E269,DimosNai,0)),"")</f>
        <v/>
      </c>
      <c r="I269" t="str">
        <f>LOOKUP(B269,ΠΕΡΙΦΕΡΕΙΑ!$A$2:$A$14,ΠΕΡΙΦΕΡΕΙΑ!$B$2:$B$14)</f>
        <v>Καθόλου</v>
      </c>
      <c r="J269" t="str">
        <f t="shared" si="32"/>
        <v/>
      </c>
      <c r="K269" s="206" t="e">
        <f t="shared" si="29"/>
        <v>#NUM!</v>
      </c>
      <c r="L269" t="str">
        <f t="shared" si="30"/>
        <v/>
      </c>
      <c r="M269" t="str">
        <f t="shared" si="31"/>
        <v/>
      </c>
      <c r="N269" s="204" t="str">
        <f t="shared" si="33"/>
        <v/>
      </c>
      <c r="O269" s="204" t="str">
        <f t="shared" si="34"/>
        <v/>
      </c>
    </row>
    <row r="270" spans="1:15" x14ac:dyDescent="0.25">
      <c r="A270" s="206">
        <v>269</v>
      </c>
      <c r="B270" t="s">
        <v>412</v>
      </c>
      <c r="C270" t="s">
        <v>308</v>
      </c>
      <c r="D270" t="s">
        <v>309</v>
      </c>
      <c r="E270" t="str">
        <f t="shared" si="28"/>
        <v xml:space="preserve">ΝΟΤΙΟΥ ΑΙΓΑΙΟΥ - ΣΥΜΗΣ, </v>
      </c>
      <c r="F270" s="232" t="s">
        <v>843</v>
      </c>
      <c r="G270" s="232">
        <v>14442</v>
      </c>
      <c r="H270" t="str">
        <f>IFERROR(INDEX(DimosNaiOxi,MATCH(ΤΚ!E270,DimosNai,0)),"")</f>
        <v/>
      </c>
      <c r="I270" t="str">
        <f>LOOKUP(B270,ΠΕΡΙΦΕΡΕΙΑ!$A$2:$A$14,ΠΕΡΙΦΕΡΕΙΑ!$B$2:$B$14)</f>
        <v>Καθόλου</v>
      </c>
      <c r="J270" t="str">
        <f t="shared" si="32"/>
        <v/>
      </c>
      <c r="K270" s="206" t="e">
        <f t="shared" si="29"/>
        <v>#NUM!</v>
      </c>
      <c r="L270" t="str">
        <f t="shared" si="30"/>
        <v/>
      </c>
      <c r="M270" t="str">
        <f t="shared" si="31"/>
        <v/>
      </c>
      <c r="N270" s="204" t="str">
        <f t="shared" si="33"/>
        <v/>
      </c>
      <c r="O270" s="204" t="str">
        <f t="shared" si="34"/>
        <v/>
      </c>
    </row>
    <row r="271" spans="1:15" x14ac:dyDescent="0.25">
      <c r="A271" s="206">
        <v>270</v>
      </c>
      <c r="B271" t="s">
        <v>412</v>
      </c>
      <c r="C271" t="s">
        <v>393</v>
      </c>
      <c r="D271" t="s">
        <v>312</v>
      </c>
      <c r="E271" t="str">
        <f t="shared" si="28"/>
        <v xml:space="preserve">ΝΟΤΙΟΥ ΑΙΓΑΙΟΥ - ΣΥΡΟΥ – ΕΡΜΟΥΠΟΛΗΣ, </v>
      </c>
      <c r="F271" s="232" t="s">
        <v>844</v>
      </c>
      <c r="G271" s="232">
        <v>14444</v>
      </c>
      <c r="H271" t="str">
        <f>IFERROR(INDEX(DimosNaiOxi,MATCH(ΤΚ!E271,DimosNai,0)),"")</f>
        <v/>
      </c>
      <c r="I271" t="str">
        <f>LOOKUP(B271,ΠΕΡΙΦΕΡΕΙΑ!$A$2:$A$14,ΠΕΡΙΦΕΡΕΙΑ!$B$2:$B$14)</f>
        <v>Καθόλου</v>
      </c>
      <c r="J271" t="str">
        <f t="shared" si="32"/>
        <v/>
      </c>
      <c r="K271" s="206" t="e">
        <f t="shared" si="29"/>
        <v>#NUM!</v>
      </c>
      <c r="L271" t="str">
        <f t="shared" si="30"/>
        <v/>
      </c>
      <c r="M271" t="str">
        <f t="shared" si="31"/>
        <v/>
      </c>
      <c r="N271" s="204" t="str">
        <f t="shared" si="33"/>
        <v/>
      </c>
      <c r="O271" s="204" t="str">
        <f t="shared" si="34"/>
        <v/>
      </c>
    </row>
    <row r="272" spans="1:15" x14ac:dyDescent="0.25">
      <c r="A272" s="206">
        <v>271</v>
      </c>
      <c r="B272" t="s">
        <v>412</v>
      </c>
      <c r="C272" t="s">
        <v>308</v>
      </c>
      <c r="D272" t="s">
        <v>310</v>
      </c>
      <c r="E272" t="str">
        <f t="shared" si="28"/>
        <v xml:space="preserve">ΝΟΤΙΟΥ ΑΙΓΑΙΟΥ - ΤΗΛΟΥ, </v>
      </c>
      <c r="F272" s="232" t="s">
        <v>845</v>
      </c>
      <c r="G272" s="232">
        <v>14492</v>
      </c>
      <c r="H272" t="str">
        <f>IFERROR(INDEX(DimosNaiOxi,MATCH(ΤΚ!E272,DimosNai,0)),"")</f>
        <v/>
      </c>
      <c r="I272" t="str">
        <f>LOOKUP(B272,ΠΕΡΙΦΕΡΕΙΑ!$A$2:$A$14,ΠΕΡΙΦΕΡΕΙΑ!$B$2:$B$14)</f>
        <v>Καθόλου</v>
      </c>
      <c r="J272" t="str">
        <f t="shared" si="32"/>
        <v/>
      </c>
      <c r="K272" s="206" t="e">
        <f t="shared" si="29"/>
        <v>#NUM!</v>
      </c>
      <c r="L272" t="str">
        <f t="shared" si="30"/>
        <v/>
      </c>
      <c r="M272" t="str">
        <f t="shared" si="31"/>
        <v/>
      </c>
      <c r="N272" s="204" t="str">
        <f t="shared" si="33"/>
        <v/>
      </c>
      <c r="O272" s="204" t="str">
        <f t="shared" si="34"/>
        <v/>
      </c>
    </row>
    <row r="273" spans="1:15" x14ac:dyDescent="0.25">
      <c r="A273" s="206">
        <v>272</v>
      </c>
      <c r="B273" t="s">
        <v>412</v>
      </c>
      <c r="C273" t="s">
        <v>313</v>
      </c>
      <c r="D273" t="s">
        <v>313</v>
      </c>
      <c r="E273" t="str">
        <f t="shared" si="28"/>
        <v xml:space="preserve">ΝΟΤΙΟΥ ΑΙΓΑΙΟΥ - ΤΗΝΟΥ, </v>
      </c>
      <c r="F273" s="232" t="s">
        <v>846</v>
      </c>
      <c r="G273" s="232">
        <v>14494</v>
      </c>
      <c r="H273" t="str">
        <f>IFERROR(INDEX(DimosNaiOxi,MATCH(ΤΚ!E273,DimosNai,0)),"")</f>
        <v/>
      </c>
      <c r="I273" t="str">
        <f>LOOKUP(B273,ΠΕΡΙΦΕΡΕΙΑ!$A$2:$A$14,ΠΕΡΙΦΕΡΕΙΑ!$B$2:$B$14)</f>
        <v>Καθόλου</v>
      </c>
      <c r="J273" t="str">
        <f t="shared" si="32"/>
        <v/>
      </c>
      <c r="K273" s="206" t="e">
        <f t="shared" si="29"/>
        <v>#NUM!</v>
      </c>
      <c r="L273" t="str">
        <f t="shared" si="30"/>
        <v/>
      </c>
      <c r="M273" t="str">
        <f t="shared" si="31"/>
        <v/>
      </c>
      <c r="N273" s="204" t="str">
        <f t="shared" si="33"/>
        <v/>
      </c>
      <c r="O273" s="204" t="str">
        <f t="shared" si="34"/>
        <v/>
      </c>
    </row>
    <row r="274" spans="1:15" x14ac:dyDescent="0.25">
      <c r="A274" s="206">
        <v>273</v>
      </c>
      <c r="B274" t="s">
        <v>412</v>
      </c>
      <c r="C274" t="s">
        <v>282</v>
      </c>
      <c r="D274" t="s">
        <v>285</v>
      </c>
      <c r="E274" t="str">
        <f t="shared" si="28"/>
        <v xml:space="preserve">ΝΟΤΙΟΥ ΑΙΓΑΙΟΥ - ΦΟΛΕΓΑΝΔΡΟΥ, </v>
      </c>
      <c r="F274" s="232" t="s">
        <v>847</v>
      </c>
      <c r="G274" s="232">
        <v>14528</v>
      </c>
      <c r="H274" t="str">
        <f>IFERROR(INDEX(DimosNaiOxi,MATCH(ΤΚ!E274,DimosNai,0)),"")</f>
        <v/>
      </c>
      <c r="I274" t="str">
        <f>LOOKUP(B274,ΠΕΡΙΦΕΡΕΙΑ!$A$2:$A$14,ΠΕΡΙΦΕΡΕΙΑ!$B$2:$B$14)</f>
        <v>Καθόλου</v>
      </c>
      <c r="J274" t="str">
        <f t="shared" si="32"/>
        <v/>
      </c>
      <c r="K274" s="206" t="e">
        <f t="shared" si="29"/>
        <v>#NUM!</v>
      </c>
      <c r="L274" t="str">
        <f t="shared" si="30"/>
        <v/>
      </c>
      <c r="M274" t="str">
        <f t="shared" si="31"/>
        <v/>
      </c>
      <c r="N274" s="204" t="str">
        <f t="shared" si="33"/>
        <v/>
      </c>
      <c r="O274" s="204" t="str">
        <f t="shared" si="34"/>
        <v/>
      </c>
    </row>
    <row r="275" spans="1:15" x14ac:dyDescent="0.25">
      <c r="A275" s="206">
        <v>274</v>
      </c>
      <c r="B275" t="s">
        <v>412</v>
      </c>
      <c r="C275" t="s">
        <v>308</v>
      </c>
      <c r="D275" t="s">
        <v>311</v>
      </c>
      <c r="E275" t="str">
        <f t="shared" si="28"/>
        <v xml:space="preserve">ΝΟΤΙΟΥ ΑΙΓΑΙΟΥ - ΧΑΛΚΗΣ, </v>
      </c>
      <c r="F275" s="232" t="s">
        <v>848</v>
      </c>
      <c r="G275" s="232">
        <v>14532</v>
      </c>
      <c r="H275" t="str">
        <f>IFERROR(INDEX(DimosNaiOxi,MATCH(ΤΚ!E275,DimosNai,0)),"")</f>
        <v/>
      </c>
      <c r="I275" t="str">
        <f>LOOKUP(B275,ΠΕΡΙΦΕΡΕΙΑ!$A$2:$A$14,ΠΕΡΙΦΕΡΕΙΑ!$B$2:$B$14)</f>
        <v>Καθόλου</v>
      </c>
      <c r="J275" t="str">
        <f t="shared" si="32"/>
        <v/>
      </c>
      <c r="K275" s="206" t="e">
        <f t="shared" si="29"/>
        <v>#NUM!</v>
      </c>
      <c r="L275" t="str">
        <f t="shared" si="30"/>
        <v/>
      </c>
      <c r="M275" t="str">
        <f t="shared" si="31"/>
        <v/>
      </c>
      <c r="N275" s="204" t="str">
        <f t="shared" si="33"/>
        <v/>
      </c>
      <c r="O275" s="204" t="str">
        <f t="shared" si="34"/>
        <v/>
      </c>
    </row>
    <row r="276" spans="1:15" x14ac:dyDescent="0.25">
      <c r="A276" s="206">
        <v>275</v>
      </c>
      <c r="B276" t="s">
        <v>413</v>
      </c>
      <c r="C276" t="s">
        <v>397</v>
      </c>
      <c r="D276" t="s">
        <v>329</v>
      </c>
      <c r="E276" t="str">
        <f t="shared" si="28"/>
        <v xml:space="preserve">ΠΕΛΟΠΟΝΝΗΣΟΥ - ΑΝΑΤΟΛΙΚΗΣ ΜΑΝΗΣ, </v>
      </c>
      <c r="F276" s="232" t="s">
        <v>849</v>
      </c>
      <c r="G276" s="232">
        <v>13984</v>
      </c>
      <c r="H276" t="str">
        <f>IFERROR(INDEX(DimosNaiOxi,MATCH(ΤΚ!E276,DimosNai,0)),"")</f>
        <v/>
      </c>
      <c r="I276" t="str">
        <f>LOOKUP(B276,ΠΕΡΙΦΕΡΕΙΑ!$A$2:$A$14,ΠΕΡΙΦΕΡΕΙΑ!$B$2:$B$14)</f>
        <v>Μερική</v>
      </c>
      <c r="J276" t="str">
        <f t="shared" si="32"/>
        <v/>
      </c>
      <c r="K276" s="206" t="e">
        <f t="shared" si="29"/>
        <v>#NUM!</v>
      </c>
      <c r="L276" t="str">
        <f t="shared" si="30"/>
        <v/>
      </c>
      <c r="M276" t="str">
        <f t="shared" si="31"/>
        <v/>
      </c>
      <c r="N276" s="204" t="str">
        <f t="shared" si="33"/>
        <v/>
      </c>
      <c r="O276" s="204" t="str">
        <f t="shared" si="34"/>
        <v/>
      </c>
    </row>
    <row r="277" spans="1:15" x14ac:dyDescent="0.25">
      <c r="A277" s="206">
        <v>276</v>
      </c>
      <c r="B277" t="s">
        <v>413</v>
      </c>
      <c r="C277" t="s">
        <v>394</v>
      </c>
      <c r="D277" t="s">
        <v>314</v>
      </c>
      <c r="E277" t="str">
        <f t="shared" si="28"/>
        <v xml:space="preserve">ΠΕΛΟΠΟΝΝΗΣΟΥ - ΑΡΓΟΥΣ – ΜΥΚΗΝΩΝ, </v>
      </c>
      <c r="F277" s="232" t="s">
        <v>850</v>
      </c>
      <c r="G277" s="232">
        <v>13910</v>
      </c>
      <c r="H277" t="str">
        <f>IFERROR(INDEX(DimosNaiOxi,MATCH(ΤΚ!E277,DimosNai,0)),"")</f>
        <v>ΝΑΙ</v>
      </c>
      <c r="I277" t="str">
        <f>LOOKUP(B277,ΠΕΡΙΦΕΡΕΙΑ!$A$2:$A$14,ΠΕΡΙΦΕΡΕΙΑ!$B$2:$B$14)</f>
        <v>Μερική</v>
      </c>
      <c r="J277">
        <f t="shared" si="32"/>
        <v>276</v>
      </c>
      <c r="K277" s="206" t="e">
        <f t="shared" si="29"/>
        <v>#NUM!</v>
      </c>
      <c r="L277" t="str">
        <f t="shared" si="30"/>
        <v/>
      </c>
      <c r="M277" t="str">
        <f t="shared" si="31"/>
        <v/>
      </c>
      <c r="N277" s="204" t="str">
        <f t="shared" si="33"/>
        <v/>
      </c>
      <c r="O277" s="204" t="str">
        <f t="shared" si="34"/>
        <v/>
      </c>
    </row>
    <row r="278" spans="1:15" x14ac:dyDescent="0.25">
      <c r="A278" s="206">
        <v>277</v>
      </c>
      <c r="B278" t="s">
        <v>413</v>
      </c>
      <c r="C278" t="s">
        <v>396</v>
      </c>
      <c r="D278" t="s">
        <v>323</v>
      </c>
      <c r="E278" t="str">
        <f t="shared" si="28"/>
        <v xml:space="preserve">ΠΕΛΟΠΟΝΝΗΣΟΥ - ΒΕΛΟΥ – ΒΟΧΑΣ, </v>
      </c>
      <c r="F278" s="232" t="s">
        <v>851</v>
      </c>
      <c r="G278" s="232">
        <v>14016</v>
      </c>
      <c r="H278" t="str">
        <f>IFERROR(INDEX(DimosNaiOxi,MATCH(ΤΚ!E278,DimosNai,0)),"")</f>
        <v>ΝΑΙ</v>
      </c>
      <c r="I278" t="str">
        <f>LOOKUP(B278,ΠΕΡΙΦΕΡΕΙΑ!$A$2:$A$14,ΠΕΡΙΦΕΡΕΙΑ!$B$2:$B$14)</f>
        <v>Μερική</v>
      </c>
      <c r="J278">
        <f t="shared" si="32"/>
        <v>277</v>
      </c>
      <c r="K278" s="206" t="e">
        <f t="shared" si="29"/>
        <v>#NUM!</v>
      </c>
      <c r="L278" t="str">
        <f t="shared" si="30"/>
        <v/>
      </c>
      <c r="M278" t="str">
        <f t="shared" si="31"/>
        <v/>
      </c>
      <c r="N278" s="204" t="str">
        <f t="shared" si="33"/>
        <v/>
      </c>
      <c r="O278" s="204" t="str">
        <f t="shared" si="34"/>
        <v/>
      </c>
    </row>
    <row r="279" spans="1:15" x14ac:dyDescent="0.25">
      <c r="A279" s="206">
        <v>278</v>
      </c>
      <c r="B279" t="s">
        <v>413</v>
      </c>
      <c r="C279" t="s">
        <v>395</v>
      </c>
      <c r="D279" t="s">
        <v>318</v>
      </c>
      <c r="E279" t="str">
        <f t="shared" si="28"/>
        <v xml:space="preserve">ΠΕΛΟΠΟΝΝΗΣΟΥ - ΒΟΡΕΙΑΣ ΚΥΝΟΥΡΙΑΣ, </v>
      </c>
      <c r="F279" s="232" t="s">
        <v>852</v>
      </c>
      <c r="G279" s="232">
        <v>14024</v>
      </c>
      <c r="H279" t="str">
        <f>IFERROR(INDEX(DimosNaiOxi,MATCH(ΤΚ!E279,DimosNai,0)),"")</f>
        <v/>
      </c>
      <c r="I279" t="str">
        <f>LOOKUP(B279,ΠΕΡΙΦΕΡΕΙΑ!$A$2:$A$14,ΠΕΡΙΦΕΡΕΙΑ!$B$2:$B$14)</f>
        <v>Μερική</v>
      </c>
      <c r="J279" t="str">
        <f t="shared" si="32"/>
        <v/>
      </c>
      <c r="K279" s="206" t="e">
        <f t="shared" si="29"/>
        <v>#NUM!</v>
      </c>
      <c r="L279" t="str">
        <f t="shared" si="30"/>
        <v/>
      </c>
      <c r="M279" t="str">
        <f t="shared" si="31"/>
        <v/>
      </c>
      <c r="N279" s="204" t="str">
        <f t="shared" si="33"/>
        <v/>
      </c>
      <c r="O279" s="204" t="str">
        <f t="shared" si="34"/>
        <v/>
      </c>
    </row>
    <row r="280" spans="1:15" x14ac:dyDescent="0.25">
      <c r="A280" s="206">
        <v>279</v>
      </c>
      <c r="B280" t="s">
        <v>413</v>
      </c>
      <c r="C280" t="s">
        <v>395</v>
      </c>
      <c r="D280" t="s">
        <v>319</v>
      </c>
      <c r="E280" t="str">
        <f t="shared" si="28"/>
        <v xml:space="preserve">ΠΕΛΟΠΟΝΝΗΣΟΥ - ΓΟΡΤΥΝΙΑΣ, </v>
      </c>
      <c r="F280" s="232" t="s">
        <v>853</v>
      </c>
      <c r="G280" s="232">
        <v>14048</v>
      </c>
      <c r="H280" t="str">
        <f>IFERROR(INDEX(DimosNaiOxi,MATCH(ΤΚ!E280,DimosNai,0)),"")</f>
        <v/>
      </c>
      <c r="I280" t="str">
        <f>LOOKUP(B280,ΠΕΡΙΦΕΡΕΙΑ!$A$2:$A$14,ΠΕΡΙΦΕΡΕΙΑ!$B$2:$B$14)</f>
        <v>Μερική</v>
      </c>
      <c r="J280" t="str">
        <f t="shared" si="32"/>
        <v/>
      </c>
      <c r="K280" s="206" t="e">
        <f t="shared" si="29"/>
        <v>#NUM!</v>
      </c>
      <c r="L280" t="str">
        <f t="shared" si="30"/>
        <v/>
      </c>
      <c r="M280" t="str">
        <f t="shared" si="31"/>
        <v/>
      </c>
      <c r="N280" s="204" t="str">
        <f t="shared" si="33"/>
        <v/>
      </c>
      <c r="O280" s="204" t="str">
        <f t="shared" si="34"/>
        <v/>
      </c>
    </row>
    <row r="281" spans="1:15" x14ac:dyDescent="0.25">
      <c r="A281" s="206">
        <v>280</v>
      </c>
      <c r="B281" t="s">
        <v>413</v>
      </c>
      <c r="C281" t="s">
        <v>398</v>
      </c>
      <c r="D281" t="s">
        <v>334</v>
      </c>
      <c r="E281" t="str">
        <f t="shared" si="28"/>
        <v xml:space="preserve">ΠΕΛΟΠΟΝΝΗΣΟΥ - ΔΥΤΙΚΗΣ ΜΑΝΗΣ, </v>
      </c>
      <c r="F281" s="232" t="s">
        <v>854</v>
      </c>
      <c r="G281" s="232">
        <v>14078</v>
      </c>
      <c r="H281" t="str">
        <f>IFERROR(INDEX(DimosNaiOxi,MATCH(ΤΚ!E281,DimosNai,0)),"")</f>
        <v/>
      </c>
      <c r="I281" t="str">
        <f>LOOKUP(B281,ΠΕΡΙΦΕΡΕΙΑ!$A$2:$A$14,ΠΕΡΙΦΕΡΕΙΑ!$B$2:$B$14)</f>
        <v>Μερική</v>
      </c>
      <c r="J281" t="str">
        <f t="shared" si="32"/>
        <v/>
      </c>
      <c r="K281" s="206" t="e">
        <f t="shared" si="29"/>
        <v>#NUM!</v>
      </c>
      <c r="L281" t="str">
        <f t="shared" si="30"/>
        <v/>
      </c>
      <c r="M281" t="str">
        <f t="shared" si="31"/>
        <v/>
      </c>
      <c r="N281" s="204" t="str">
        <f t="shared" si="33"/>
        <v/>
      </c>
      <c r="O281" s="204" t="str">
        <f t="shared" si="34"/>
        <v/>
      </c>
    </row>
    <row r="282" spans="1:15" x14ac:dyDescent="0.25">
      <c r="A282" s="206">
        <v>281</v>
      </c>
      <c r="B282" t="s">
        <v>413</v>
      </c>
      <c r="C282" t="s">
        <v>397</v>
      </c>
      <c r="D282" t="s">
        <v>330</v>
      </c>
      <c r="E282" t="str">
        <f t="shared" si="28"/>
        <v xml:space="preserve">ΠΕΛΟΠΟΝΝΗΣΟΥ - ΕΛΑΦΟΝΗΣΟΥ, </v>
      </c>
      <c r="F282" s="232" t="s">
        <v>855</v>
      </c>
      <c r="G282" s="232">
        <v>14086</v>
      </c>
      <c r="H282" t="str">
        <f>IFERROR(INDEX(DimosNaiOxi,MATCH(ΤΚ!E282,DimosNai,0)),"")</f>
        <v/>
      </c>
      <c r="I282" t="str">
        <f>LOOKUP(B282,ΠΕΡΙΦΕΡΕΙΑ!$A$2:$A$14,ΠΕΡΙΦΕΡΕΙΑ!$B$2:$B$14)</f>
        <v>Μερική</v>
      </c>
      <c r="J282" t="str">
        <f t="shared" si="32"/>
        <v/>
      </c>
      <c r="K282" s="206" t="e">
        <f t="shared" si="29"/>
        <v>#NUM!</v>
      </c>
      <c r="L282" t="str">
        <f t="shared" si="30"/>
        <v/>
      </c>
      <c r="M282" t="str">
        <f t="shared" si="31"/>
        <v/>
      </c>
      <c r="N282" s="204" t="str">
        <f t="shared" si="33"/>
        <v/>
      </c>
      <c r="O282" s="204" t="str">
        <f t="shared" si="34"/>
        <v/>
      </c>
    </row>
    <row r="283" spans="1:15" x14ac:dyDescent="0.25">
      <c r="A283" s="206">
        <v>282</v>
      </c>
      <c r="B283" t="s">
        <v>413</v>
      </c>
      <c r="C283" t="s">
        <v>394</v>
      </c>
      <c r="D283" t="s">
        <v>315</v>
      </c>
      <c r="E283" t="str">
        <f t="shared" si="28"/>
        <v xml:space="preserve">ΠΕΛΟΠΟΝΝΗΣΟΥ - ΕΠΙΔΑΥΡΟΥ, </v>
      </c>
      <c r="F283" s="232" t="s">
        <v>856</v>
      </c>
      <c r="G283" s="232">
        <v>14096</v>
      </c>
      <c r="H283" t="str">
        <f>IFERROR(INDEX(DimosNaiOxi,MATCH(ΤΚ!E283,DimosNai,0)),"")</f>
        <v/>
      </c>
      <c r="I283" t="str">
        <f>LOOKUP(B283,ΠΕΡΙΦΕΡΕΙΑ!$A$2:$A$14,ΠΕΡΙΦΕΡΕΙΑ!$B$2:$B$14)</f>
        <v>Μερική</v>
      </c>
      <c r="J283" t="str">
        <f t="shared" si="32"/>
        <v/>
      </c>
      <c r="K283" s="206" t="e">
        <f t="shared" si="29"/>
        <v>#NUM!</v>
      </c>
      <c r="L283" t="str">
        <f t="shared" si="30"/>
        <v/>
      </c>
      <c r="M283" t="str">
        <f t="shared" si="31"/>
        <v/>
      </c>
      <c r="N283" s="204" t="str">
        <f t="shared" si="33"/>
        <v/>
      </c>
      <c r="O283" s="204" t="str">
        <f t="shared" si="34"/>
        <v/>
      </c>
    </row>
    <row r="284" spans="1:15" x14ac:dyDescent="0.25">
      <c r="A284" s="206">
        <v>283</v>
      </c>
      <c r="B284" t="s">
        <v>413</v>
      </c>
      <c r="C284" t="s">
        <v>394</v>
      </c>
      <c r="D284" t="s">
        <v>316</v>
      </c>
      <c r="E284" t="str">
        <f t="shared" si="28"/>
        <v xml:space="preserve">ΠΕΛΟΠΟΝΝΗΣΟΥ - ΕΡΜΙΟΝΙΔΑΣ, </v>
      </c>
      <c r="F284" s="232" t="s">
        <v>857</v>
      </c>
      <c r="G284" s="232">
        <v>14100</v>
      </c>
      <c r="H284" t="str">
        <f>IFERROR(INDEX(DimosNaiOxi,MATCH(ΤΚ!E284,DimosNai,0)),"")</f>
        <v/>
      </c>
      <c r="I284" t="str">
        <f>LOOKUP(B284,ΠΕΡΙΦΕΡΕΙΑ!$A$2:$A$14,ΠΕΡΙΦΕΡΕΙΑ!$B$2:$B$14)</f>
        <v>Μερική</v>
      </c>
      <c r="J284" t="str">
        <f t="shared" si="32"/>
        <v/>
      </c>
      <c r="K284" s="206" t="e">
        <f t="shared" si="29"/>
        <v>#NUM!</v>
      </c>
      <c r="L284" t="str">
        <f t="shared" si="30"/>
        <v/>
      </c>
      <c r="M284" t="str">
        <f t="shared" si="31"/>
        <v/>
      </c>
      <c r="N284" s="204" t="str">
        <f t="shared" si="33"/>
        <v/>
      </c>
      <c r="O284" s="204" t="str">
        <f t="shared" si="34"/>
        <v/>
      </c>
    </row>
    <row r="285" spans="1:15" x14ac:dyDescent="0.25">
      <c r="A285" s="206">
        <v>284</v>
      </c>
      <c r="B285" t="s">
        <v>413</v>
      </c>
      <c r="C285" t="s">
        <v>397</v>
      </c>
      <c r="D285" t="s">
        <v>331</v>
      </c>
      <c r="E285" t="str">
        <f t="shared" si="28"/>
        <v xml:space="preserve">ΠΕΛΟΠΟΝΝΗΣΟΥ - ΕΥΡΩΤΑ, </v>
      </c>
      <c r="F285" s="232" t="s">
        <v>858</v>
      </c>
      <c r="G285" s="232">
        <v>14104</v>
      </c>
      <c r="H285" t="str">
        <f>IFERROR(INDEX(DimosNaiOxi,MATCH(ΤΚ!E285,DimosNai,0)),"")</f>
        <v/>
      </c>
      <c r="I285" t="str">
        <f>LOOKUP(B285,ΠΕΡΙΦΕΡΕΙΑ!$A$2:$A$14,ΠΕΡΙΦΕΡΕΙΑ!$B$2:$B$14)</f>
        <v>Μερική</v>
      </c>
      <c r="J285" t="str">
        <f t="shared" si="32"/>
        <v/>
      </c>
      <c r="K285" s="206" t="e">
        <f t="shared" si="29"/>
        <v>#NUM!</v>
      </c>
      <c r="L285" t="str">
        <f t="shared" si="30"/>
        <v/>
      </c>
      <c r="M285" t="str">
        <f t="shared" si="31"/>
        <v/>
      </c>
      <c r="N285" s="204" t="str">
        <f t="shared" si="33"/>
        <v/>
      </c>
      <c r="O285" s="204" t="str">
        <f t="shared" si="34"/>
        <v/>
      </c>
    </row>
    <row r="286" spans="1:15" x14ac:dyDescent="0.25">
      <c r="A286" s="206">
        <v>285</v>
      </c>
      <c r="B286" t="s">
        <v>413</v>
      </c>
      <c r="C286" t="s">
        <v>398</v>
      </c>
      <c r="D286" t="s">
        <v>335</v>
      </c>
      <c r="E286" t="str">
        <f t="shared" si="28"/>
        <v xml:space="preserve">ΠΕΛΟΠΟΝΝΗΣΟΥ - ΚΑΛΑΜΑΤΑΣ, </v>
      </c>
      <c r="F286" s="232" t="s">
        <v>859</v>
      </c>
      <c r="G286" s="232">
        <v>14180</v>
      </c>
      <c r="H286" t="str">
        <f>IFERROR(INDEX(DimosNaiOxi,MATCH(ΤΚ!E286,DimosNai,0)),"")</f>
        <v>ΝΑΙ</v>
      </c>
      <c r="I286" t="str">
        <f>LOOKUP(B286,ΠΕΡΙΦΕΡΕΙΑ!$A$2:$A$14,ΠΕΡΙΦΕΡΕΙΑ!$B$2:$B$14)</f>
        <v>Μερική</v>
      </c>
      <c r="J286">
        <f t="shared" si="32"/>
        <v>285</v>
      </c>
      <c r="K286" s="206" t="e">
        <f t="shared" si="29"/>
        <v>#NUM!</v>
      </c>
      <c r="L286" t="str">
        <f t="shared" si="30"/>
        <v/>
      </c>
      <c r="M286" t="str">
        <f t="shared" si="31"/>
        <v/>
      </c>
      <c r="N286" s="204" t="str">
        <f t="shared" si="33"/>
        <v/>
      </c>
      <c r="O286" s="204" t="str">
        <f t="shared" si="34"/>
        <v/>
      </c>
    </row>
    <row r="287" spans="1:15" x14ac:dyDescent="0.25">
      <c r="A287" s="206">
        <v>286</v>
      </c>
      <c r="B287" t="s">
        <v>413</v>
      </c>
      <c r="C287" t="s">
        <v>396</v>
      </c>
      <c r="D287" t="s">
        <v>324</v>
      </c>
      <c r="E287" t="str">
        <f t="shared" si="28"/>
        <v xml:space="preserve">ΠΕΛΟΠΟΝΝΗΣΟΥ - ΚΟΡΙΝΘΙΩΝ, </v>
      </c>
      <c r="F287" s="232" t="s">
        <v>860</v>
      </c>
      <c r="G287" s="232">
        <v>14228</v>
      </c>
      <c r="H287" t="str">
        <f>IFERROR(INDEX(DimosNaiOxi,MATCH(ΤΚ!E287,DimosNai,0)),"")</f>
        <v>ΝΑΙ</v>
      </c>
      <c r="I287" t="str">
        <f>LOOKUP(B287,ΠΕΡΙΦΕΡΕΙΑ!$A$2:$A$14,ΠΕΡΙΦΕΡΕΙΑ!$B$2:$B$14)</f>
        <v>Μερική</v>
      </c>
      <c r="J287">
        <f t="shared" si="32"/>
        <v>286</v>
      </c>
      <c r="K287" s="206" t="e">
        <f t="shared" si="29"/>
        <v>#NUM!</v>
      </c>
      <c r="L287" t="str">
        <f t="shared" si="30"/>
        <v/>
      </c>
      <c r="M287" t="str">
        <f t="shared" si="31"/>
        <v/>
      </c>
      <c r="N287" s="204" t="str">
        <f t="shared" si="33"/>
        <v/>
      </c>
      <c r="O287" s="204" t="str">
        <f t="shared" si="34"/>
        <v/>
      </c>
    </row>
    <row r="288" spans="1:15" x14ac:dyDescent="0.25">
      <c r="A288" s="206">
        <v>287</v>
      </c>
      <c r="B288" t="s">
        <v>413</v>
      </c>
      <c r="C288" t="s">
        <v>396</v>
      </c>
      <c r="D288" t="s">
        <v>325</v>
      </c>
      <c r="E288" t="str">
        <f t="shared" si="28"/>
        <v xml:space="preserve">ΠΕΛΟΠΟΝΝΗΣΟΥ - ΛΟΥΤΡΑΚΙΟΥ – ΑΓΙΩΝ ΘΕΟΔΩΡΩΝ, </v>
      </c>
      <c r="F288" s="232" t="s">
        <v>861</v>
      </c>
      <c r="G288" s="232">
        <v>14262</v>
      </c>
      <c r="H288" t="str">
        <f>IFERROR(INDEX(DimosNaiOxi,MATCH(ΤΚ!E288,DimosNai,0)),"")</f>
        <v>ΝΑΙ</v>
      </c>
      <c r="I288" t="str">
        <f>LOOKUP(B288,ΠΕΡΙΦΕΡΕΙΑ!$A$2:$A$14,ΠΕΡΙΦΕΡΕΙΑ!$B$2:$B$14)</f>
        <v>Μερική</v>
      </c>
      <c r="J288">
        <f t="shared" si="32"/>
        <v>287</v>
      </c>
      <c r="K288" s="206" t="e">
        <f t="shared" si="29"/>
        <v>#NUM!</v>
      </c>
      <c r="L288" t="str">
        <f t="shared" si="30"/>
        <v/>
      </c>
      <c r="M288" t="str">
        <f t="shared" si="31"/>
        <v/>
      </c>
      <c r="N288" s="204" t="str">
        <f t="shared" si="33"/>
        <v/>
      </c>
      <c r="O288" s="204" t="str">
        <f t="shared" si="34"/>
        <v/>
      </c>
    </row>
    <row r="289" spans="1:15" x14ac:dyDescent="0.25">
      <c r="A289" s="206">
        <v>288</v>
      </c>
      <c r="B289" t="s">
        <v>413</v>
      </c>
      <c r="C289" t="s">
        <v>395</v>
      </c>
      <c r="D289" t="s">
        <v>320</v>
      </c>
      <c r="E289" t="str">
        <f t="shared" si="28"/>
        <v xml:space="preserve">ΠΕΛΟΠΟΝΝΗΣΟΥ - ΜΕΓΑΛΟΠΟΛΗΣ, </v>
      </c>
      <c r="F289" s="232" t="s">
        <v>862</v>
      </c>
      <c r="G289" s="232">
        <v>14288</v>
      </c>
      <c r="H289" t="str">
        <f>IFERROR(INDEX(DimosNaiOxi,MATCH(ΤΚ!E289,DimosNai,0)),"")</f>
        <v/>
      </c>
      <c r="I289" t="str">
        <f>LOOKUP(B289,ΠΕΡΙΦΕΡΕΙΑ!$A$2:$A$14,ΠΕΡΙΦΕΡΕΙΑ!$B$2:$B$14)</f>
        <v>Μερική</v>
      </c>
      <c r="J289" t="str">
        <f t="shared" si="32"/>
        <v/>
      </c>
      <c r="K289" s="206" t="e">
        <f t="shared" si="29"/>
        <v>#NUM!</v>
      </c>
      <c r="L289" t="str">
        <f t="shared" si="30"/>
        <v/>
      </c>
      <c r="M289" t="str">
        <f t="shared" si="31"/>
        <v/>
      </c>
      <c r="N289" s="204" t="str">
        <f t="shared" si="33"/>
        <v/>
      </c>
      <c r="O289" s="204" t="str">
        <f t="shared" si="34"/>
        <v/>
      </c>
    </row>
    <row r="290" spans="1:15" x14ac:dyDescent="0.25">
      <c r="A290" s="206">
        <v>289</v>
      </c>
      <c r="B290" t="s">
        <v>413</v>
      </c>
      <c r="C290" t="s">
        <v>398</v>
      </c>
      <c r="D290" t="s">
        <v>336</v>
      </c>
      <c r="E290" t="str">
        <f t="shared" si="28"/>
        <v xml:space="preserve">ΠΕΛΟΠΟΝΝΗΣΟΥ - ΜΕΣΣΗΝΗΣ, </v>
      </c>
      <c r="F290" s="232" t="s">
        <v>863</v>
      </c>
      <c r="G290" s="232">
        <v>14294</v>
      </c>
      <c r="H290" t="str">
        <f>IFERROR(INDEX(DimosNaiOxi,MATCH(ΤΚ!E290,DimosNai,0)),"")</f>
        <v/>
      </c>
      <c r="I290" t="str">
        <f>LOOKUP(B290,ΠΕΡΙΦΕΡΕΙΑ!$A$2:$A$14,ΠΕΡΙΦΕΡΕΙΑ!$B$2:$B$14)</f>
        <v>Μερική</v>
      </c>
      <c r="J290" t="str">
        <f t="shared" si="32"/>
        <v/>
      </c>
      <c r="K290" s="206" t="e">
        <f t="shared" si="29"/>
        <v>#NUM!</v>
      </c>
      <c r="L290" t="str">
        <f t="shared" si="30"/>
        <v/>
      </c>
      <c r="M290" t="str">
        <f t="shared" si="31"/>
        <v/>
      </c>
      <c r="N290" s="204" t="str">
        <f t="shared" si="33"/>
        <v/>
      </c>
      <c r="O290" s="204" t="str">
        <f t="shared" si="34"/>
        <v/>
      </c>
    </row>
    <row r="291" spans="1:15" x14ac:dyDescent="0.25">
      <c r="A291" s="206">
        <v>290</v>
      </c>
      <c r="B291" t="s">
        <v>413</v>
      </c>
      <c r="C291" t="s">
        <v>397</v>
      </c>
      <c r="D291" t="s">
        <v>332</v>
      </c>
      <c r="E291" t="str">
        <f t="shared" si="28"/>
        <v xml:space="preserve">ΠΕΛΟΠΟΝΝΗΣΟΥ - ΜΟΝΕΜΒΑΣΙΑΣ, </v>
      </c>
      <c r="F291" s="232" t="s">
        <v>864</v>
      </c>
      <c r="G291" s="232">
        <v>14302</v>
      </c>
      <c r="H291" t="str">
        <f>IFERROR(INDEX(DimosNaiOxi,MATCH(ΤΚ!E291,DimosNai,0)),"")</f>
        <v/>
      </c>
      <c r="I291" t="str">
        <f>LOOKUP(B291,ΠΕΡΙΦΕΡΕΙΑ!$A$2:$A$14,ΠΕΡΙΦΕΡΕΙΑ!$B$2:$B$14)</f>
        <v>Μερική</v>
      </c>
      <c r="J291" t="str">
        <f t="shared" si="32"/>
        <v/>
      </c>
      <c r="K291" s="206" t="e">
        <f t="shared" si="29"/>
        <v>#NUM!</v>
      </c>
      <c r="L291" t="str">
        <f t="shared" si="30"/>
        <v/>
      </c>
      <c r="M291" t="str">
        <f t="shared" si="31"/>
        <v/>
      </c>
      <c r="N291" s="204" t="str">
        <f t="shared" si="33"/>
        <v/>
      </c>
      <c r="O291" s="204" t="str">
        <f t="shared" si="34"/>
        <v/>
      </c>
    </row>
    <row r="292" spans="1:15" x14ac:dyDescent="0.25">
      <c r="A292" s="206">
        <v>291</v>
      </c>
      <c r="B292" t="s">
        <v>413</v>
      </c>
      <c r="C292" t="s">
        <v>394</v>
      </c>
      <c r="D292" t="s">
        <v>317</v>
      </c>
      <c r="E292" t="str">
        <f t="shared" si="28"/>
        <v xml:space="preserve">ΠΕΛΟΠΟΝΝΗΣΟΥ - ΝΑΥΠΛΙΕΩΝ, </v>
      </c>
      <c r="F292" s="232" t="s">
        <v>865</v>
      </c>
      <c r="G292" s="232">
        <v>14334</v>
      </c>
      <c r="H292" t="str">
        <f>IFERROR(INDEX(DimosNaiOxi,MATCH(ΤΚ!E292,DimosNai,0)),"")</f>
        <v>ΝΑΙ</v>
      </c>
      <c r="I292" t="str">
        <f>LOOKUP(B292,ΠΕΡΙΦΕΡΕΙΑ!$A$2:$A$14,ΠΕΡΙΦΕΡΕΙΑ!$B$2:$B$14)</f>
        <v>Μερική</v>
      </c>
      <c r="J292">
        <f t="shared" si="32"/>
        <v>291</v>
      </c>
      <c r="K292" s="206" t="e">
        <f t="shared" si="29"/>
        <v>#NUM!</v>
      </c>
      <c r="L292" t="str">
        <f t="shared" si="30"/>
        <v/>
      </c>
      <c r="M292" t="str">
        <f t="shared" si="31"/>
        <v/>
      </c>
      <c r="N292" s="204" t="str">
        <f t="shared" si="33"/>
        <v/>
      </c>
      <c r="O292" s="204" t="str">
        <f t="shared" si="34"/>
        <v/>
      </c>
    </row>
    <row r="293" spans="1:15" x14ac:dyDescent="0.25">
      <c r="A293" s="206">
        <v>292</v>
      </c>
      <c r="B293" t="s">
        <v>413</v>
      </c>
      <c r="C293" t="s">
        <v>396</v>
      </c>
      <c r="D293" t="s">
        <v>326</v>
      </c>
      <c r="E293" t="str">
        <f t="shared" si="28"/>
        <v xml:space="preserve">ΠΕΛΟΠΟΝΝΗΣΟΥ - ΝΕΜΕΑΣ, </v>
      </c>
      <c r="F293" s="232" t="s">
        <v>866</v>
      </c>
      <c r="G293" s="232">
        <v>14336</v>
      </c>
      <c r="H293" t="str">
        <f>IFERROR(INDEX(DimosNaiOxi,MATCH(ΤΚ!E293,DimosNai,0)),"")</f>
        <v/>
      </c>
      <c r="I293" t="str">
        <f>LOOKUP(B293,ΠΕΡΙΦΕΡΕΙΑ!$A$2:$A$14,ΠΕΡΙΦΕΡΕΙΑ!$B$2:$B$14)</f>
        <v>Μερική</v>
      </c>
      <c r="J293" t="str">
        <f t="shared" si="32"/>
        <v/>
      </c>
      <c r="K293" s="206" t="e">
        <f t="shared" si="29"/>
        <v>#NUM!</v>
      </c>
      <c r="L293" t="str">
        <f t="shared" si="30"/>
        <v/>
      </c>
      <c r="M293" t="str">
        <f t="shared" si="31"/>
        <v/>
      </c>
      <c r="N293" s="204" t="str">
        <f t="shared" si="33"/>
        <v/>
      </c>
      <c r="O293" s="204" t="str">
        <f t="shared" si="34"/>
        <v/>
      </c>
    </row>
    <row r="294" spans="1:15" x14ac:dyDescent="0.25">
      <c r="A294" s="206">
        <v>293</v>
      </c>
      <c r="B294" t="s">
        <v>413</v>
      </c>
      <c r="C294" t="s">
        <v>395</v>
      </c>
      <c r="D294" t="s">
        <v>321</v>
      </c>
      <c r="E294" t="str">
        <f t="shared" si="28"/>
        <v xml:space="preserve">ΠΕΛΟΠΟΝΝΗΣΟΥ - ΝΟΤΙΑΣ ΚΥΝΟΥΡΙΑΣ, </v>
      </c>
      <c r="F294" s="232" t="s">
        <v>867</v>
      </c>
      <c r="G294" s="232">
        <v>14330</v>
      </c>
      <c r="H294" t="str">
        <f>IFERROR(INDEX(DimosNaiOxi,MATCH(ΤΚ!E294,DimosNai,0)),"")</f>
        <v/>
      </c>
      <c r="I294" t="str">
        <f>LOOKUP(B294,ΠΕΡΙΦΕΡΕΙΑ!$A$2:$A$14,ΠΕΡΙΦΕΡΕΙΑ!$B$2:$B$14)</f>
        <v>Μερική</v>
      </c>
      <c r="J294" t="str">
        <f t="shared" si="32"/>
        <v/>
      </c>
      <c r="K294" s="206" t="e">
        <f t="shared" si="29"/>
        <v>#NUM!</v>
      </c>
      <c r="L294" t="str">
        <f t="shared" si="30"/>
        <v/>
      </c>
      <c r="M294" t="str">
        <f t="shared" si="31"/>
        <v/>
      </c>
      <c r="N294" s="204" t="str">
        <f t="shared" si="33"/>
        <v/>
      </c>
      <c r="O294" s="204" t="str">
        <f t="shared" si="34"/>
        <v/>
      </c>
    </row>
    <row r="295" spans="1:15" x14ac:dyDescent="0.25">
      <c r="A295" s="206">
        <v>294</v>
      </c>
      <c r="B295" t="s">
        <v>413</v>
      </c>
      <c r="C295" t="s">
        <v>396</v>
      </c>
      <c r="D295" t="s">
        <v>327</v>
      </c>
      <c r="E295" t="str">
        <f t="shared" si="28"/>
        <v xml:space="preserve">ΠΕΛΟΠΟΝΝΗΣΟΥ - ΞΥΛΟΚΑΣΤΡΟΥ – ΕΥΡΩΣΤΙΝΗΣ, </v>
      </c>
      <c r="F295" s="232" t="s">
        <v>868</v>
      </c>
      <c r="G295" s="232">
        <v>14350</v>
      </c>
      <c r="H295" t="str">
        <f>IFERROR(INDEX(DimosNaiOxi,MATCH(ΤΚ!E295,DimosNai,0)),"")</f>
        <v>ΝΑΙ</v>
      </c>
      <c r="I295" t="str">
        <f>LOOKUP(B295,ΠΕΡΙΦΕΡΕΙΑ!$A$2:$A$14,ΠΕΡΙΦΕΡΕΙΑ!$B$2:$B$14)</f>
        <v>Μερική</v>
      </c>
      <c r="J295">
        <f t="shared" si="32"/>
        <v>294</v>
      </c>
      <c r="K295" s="206" t="e">
        <f t="shared" si="29"/>
        <v>#NUM!</v>
      </c>
      <c r="L295" t="str">
        <f t="shared" si="30"/>
        <v/>
      </c>
      <c r="M295" t="str">
        <f t="shared" si="31"/>
        <v/>
      </c>
      <c r="N295" s="204" t="str">
        <f t="shared" si="33"/>
        <v/>
      </c>
      <c r="O295" s="204" t="str">
        <f t="shared" si="34"/>
        <v/>
      </c>
    </row>
    <row r="296" spans="1:15" x14ac:dyDescent="0.25">
      <c r="A296" s="206">
        <v>295</v>
      </c>
      <c r="B296" t="s">
        <v>413</v>
      </c>
      <c r="C296" t="s">
        <v>398</v>
      </c>
      <c r="D296" t="s">
        <v>337</v>
      </c>
      <c r="E296" t="str">
        <f t="shared" si="28"/>
        <v xml:space="preserve">ΠΕΛΟΠΟΝΝΗΣΟΥ - ΟΙΧΑΛΙΑΣ, </v>
      </c>
      <c r="F296" s="232" t="s">
        <v>869</v>
      </c>
      <c r="G296" s="232">
        <v>14354</v>
      </c>
      <c r="H296" t="str">
        <f>IFERROR(INDEX(DimosNaiOxi,MATCH(ΤΚ!E296,DimosNai,0)),"")</f>
        <v/>
      </c>
      <c r="I296" t="str">
        <f>LOOKUP(B296,ΠΕΡΙΦΕΡΕΙΑ!$A$2:$A$14,ΠΕΡΙΦΕΡΕΙΑ!$B$2:$B$14)</f>
        <v>Μερική</v>
      </c>
      <c r="J296" t="str">
        <f t="shared" si="32"/>
        <v/>
      </c>
      <c r="K296" s="206" t="e">
        <f t="shared" si="29"/>
        <v>#NUM!</v>
      </c>
      <c r="L296" t="str">
        <f t="shared" si="30"/>
        <v/>
      </c>
      <c r="M296" t="str">
        <f t="shared" si="31"/>
        <v/>
      </c>
      <c r="N296" s="204" t="str">
        <f t="shared" si="33"/>
        <v/>
      </c>
      <c r="O296" s="204" t="str">
        <f t="shared" si="34"/>
        <v/>
      </c>
    </row>
    <row r="297" spans="1:15" x14ac:dyDescent="0.25">
      <c r="A297" s="206">
        <v>296</v>
      </c>
      <c r="B297" t="s">
        <v>413</v>
      </c>
      <c r="C297" t="s">
        <v>398</v>
      </c>
      <c r="D297" t="s">
        <v>338</v>
      </c>
      <c r="E297" t="str">
        <f t="shared" si="28"/>
        <v xml:space="preserve">ΠΕΛΟΠΟΝΝΗΣΟΥ - ΠΥΛΟΥ – ΝΕΣΤΟΡΟΣ, </v>
      </c>
      <c r="F297" s="232" t="s">
        <v>870</v>
      </c>
      <c r="G297" s="232">
        <v>14378</v>
      </c>
      <c r="H297" t="str">
        <f>IFERROR(INDEX(DimosNaiOxi,MATCH(ΤΚ!E297,DimosNai,0)),"")</f>
        <v/>
      </c>
      <c r="I297" t="str">
        <f>LOOKUP(B297,ΠΕΡΙΦΕΡΕΙΑ!$A$2:$A$14,ΠΕΡΙΦΕΡΕΙΑ!$B$2:$B$14)</f>
        <v>Μερική</v>
      </c>
      <c r="J297" t="str">
        <f t="shared" si="32"/>
        <v/>
      </c>
      <c r="K297" s="206" t="e">
        <f t="shared" si="29"/>
        <v>#NUM!</v>
      </c>
      <c r="L297" t="str">
        <f t="shared" si="30"/>
        <v/>
      </c>
      <c r="M297" t="str">
        <f t="shared" si="31"/>
        <v/>
      </c>
      <c r="N297" s="204" t="str">
        <f t="shared" si="33"/>
        <v/>
      </c>
      <c r="O297" s="204" t="str">
        <f t="shared" si="34"/>
        <v/>
      </c>
    </row>
    <row r="298" spans="1:15" x14ac:dyDescent="0.25">
      <c r="A298" s="206">
        <v>297</v>
      </c>
      <c r="B298" t="s">
        <v>413</v>
      </c>
      <c r="C298" t="s">
        <v>396</v>
      </c>
      <c r="D298" t="s">
        <v>328</v>
      </c>
      <c r="E298" t="str">
        <f t="shared" si="28"/>
        <v xml:space="preserve">ΠΕΛΟΠΟΝΝΗΣΟΥ - ΣΙΚΥΩΝΙΩΝ, </v>
      </c>
      <c r="F298" s="232" t="s">
        <v>871</v>
      </c>
      <c r="G298" s="232">
        <v>14464</v>
      </c>
      <c r="H298" t="str">
        <f>IFERROR(INDEX(DimosNaiOxi,MATCH(ΤΚ!E298,DimosNai,0)),"")</f>
        <v>ΝΑΙ</v>
      </c>
      <c r="I298" t="str">
        <f>LOOKUP(B298,ΠΕΡΙΦΕΡΕΙΑ!$A$2:$A$14,ΠΕΡΙΦΕΡΕΙΑ!$B$2:$B$14)</f>
        <v>Μερική</v>
      </c>
      <c r="J298">
        <f t="shared" si="32"/>
        <v>297</v>
      </c>
      <c r="K298" s="206" t="e">
        <f t="shared" si="29"/>
        <v>#NUM!</v>
      </c>
      <c r="L298" t="str">
        <f t="shared" si="30"/>
        <v/>
      </c>
      <c r="M298" t="str">
        <f t="shared" si="31"/>
        <v/>
      </c>
      <c r="N298" s="204" t="str">
        <f t="shared" si="33"/>
        <v/>
      </c>
      <c r="O298" s="204" t="str">
        <f t="shared" si="34"/>
        <v/>
      </c>
    </row>
    <row r="299" spans="1:15" x14ac:dyDescent="0.25">
      <c r="A299" s="206">
        <v>298</v>
      </c>
      <c r="B299" t="s">
        <v>413</v>
      </c>
      <c r="C299" t="s">
        <v>397</v>
      </c>
      <c r="D299" t="s">
        <v>333</v>
      </c>
      <c r="E299" t="str">
        <f t="shared" si="28"/>
        <v xml:space="preserve">ΠΕΛΟΠΟΝΝΗΣΟΥ - ΣΠΑΡΤΗΣ, </v>
      </c>
      <c r="F299" s="232" t="s">
        <v>872</v>
      </c>
      <c r="G299" s="232">
        <v>14482</v>
      </c>
      <c r="H299" t="str">
        <f>IFERROR(INDEX(DimosNaiOxi,MATCH(ΤΚ!E299,DimosNai,0)),"")</f>
        <v>ΝΑΙ</v>
      </c>
      <c r="I299" t="str">
        <f>LOOKUP(B299,ΠΕΡΙΦΕΡΕΙΑ!$A$2:$A$14,ΠΕΡΙΦΕΡΕΙΑ!$B$2:$B$14)</f>
        <v>Μερική</v>
      </c>
      <c r="J299">
        <f t="shared" si="32"/>
        <v>298</v>
      </c>
      <c r="K299" s="206" t="e">
        <f t="shared" si="29"/>
        <v>#NUM!</v>
      </c>
      <c r="L299" t="str">
        <f t="shared" si="30"/>
        <v/>
      </c>
      <c r="M299" t="str">
        <f t="shared" si="31"/>
        <v/>
      </c>
      <c r="N299" s="204" t="str">
        <f t="shared" si="33"/>
        <v/>
      </c>
      <c r="O299" s="204" t="str">
        <f t="shared" si="34"/>
        <v/>
      </c>
    </row>
    <row r="300" spans="1:15" x14ac:dyDescent="0.25">
      <c r="A300" s="206">
        <v>299</v>
      </c>
      <c r="B300" t="s">
        <v>413</v>
      </c>
      <c r="C300" t="s">
        <v>395</v>
      </c>
      <c r="D300" t="s">
        <v>322</v>
      </c>
      <c r="E300" t="str">
        <f t="shared" si="28"/>
        <v xml:space="preserve">ΠΕΛΟΠΟΝΝΗΣΟΥ - ΤΡΙΠΟΛΗΣ, </v>
      </c>
      <c r="F300" s="232" t="s">
        <v>873</v>
      </c>
      <c r="G300" s="232">
        <v>14502</v>
      </c>
      <c r="H300" t="str">
        <f>IFERROR(INDEX(DimosNaiOxi,MATCH(ΤΚ!E300,DimosNai,0)),"")</f>
        <v>ΝΑΙ</v>
      </c>
      <c r="I300" t="str">
        <f>LOOKUP(B300,ΠΕΡΙΦΕΡΕΙΑ!$A$2:$A$14,ΠΕΡΙΦΕΡΕΙΑ!$B$2:$B$14)</f>
        <v>Μερική</v>
      </c>
      <c r="J300">
        <f t="shared" si="32"/>
        <v>299</v>
      </c>
      <c r="K300" s="206" t="e">
        <f t="shared" si="29"/>
        <v>#NUM!</v>
      </c>
      <c r="L300" t="str">
        <f t="shared" si="30"/>
        <v/>
      </c>
      <c r="M300" t="str">
        <f t="shared" si="31"/>
        <v/>
      </c>
      <c r="N300" s="204" t="str">
        <f t="shared" si="33"/>
        <v/>
      </c>
      <c r="O300" s="204" t="str">
        <f t="shared" si="34"/>
        <v/>
      </c>
    </row>
    <row r="301" spans="1:15" x14ac:dyDescent="0.25">
      <c r="A301" s="206">
        <v>300</v>
      </c>
      <c r="B301" t="s">
        <v>413</v>
      </c>
      <c r="C301" t="s">
        <v>398</v>
      </c>
      <c r="D301" t="s">
        <v>339</v>
      </c>
      <c r="E301" t="str">
        <f t="shared" si="28"/>
        <v xml:space="preserve">ΠΕΛΟΠΟΝΝΗΣΟΥ - ΤΡΙΦΥΛΙΑΣ, </v>
      </c>
      <c r="F301" s="232" t="s">
        <v>874</v>
      </c>
      <c r="G301" s="232">
        <v>14506</v>
      </c>
      <c r="H301" t="str">
        <f>IFERROR(INDEX(DimosNaiOxi,MATCH(ΤΚ!E301,DimosNai,0)),"")</f>
        <v/>
      </c>
      <c r="I301" t="str">
        <f>LOOKUP(B301,ΠΕΡΙΦΕΡΕΙΑ!$A$2:$A$14,ΠΕΡΙΦΕΡΕΙΑ!$B$2:$B$14)</f>
        <v>Μερική</v>
      </c>
      <c r="J301" t="str">
        <f t="shared" si="32"/>
        <v/>
      </c>
      <c r="K301" s="206" t="e">
        <f t="shared" si="29"/>
        <v>#NUM!</v>
      </c>
      <c r="L301" t="str">
        <f t="shared" si="30"/>
        <v/>
      </c>
      <c r="M301" t="str">
        <f t="shared" si="31"/>
        <v/>
      </c>
      <c r="N301" s="204" t="str">
        <f t="shared" si="33"/>
        <v/>
      </c>
      <c r="O301" s="204" t="str">
        <f t="shared" si="34"/>
        <v/>
      </c>
    </row>
    <row r="302" spans="1:15" x14ac:dyDescent="0.25">
      <c r="A302" s="206">
        <v>301</v>
      </c>
      <c r="B302" t="s">
        <v>414</v>
      </c>
      <c r="C302" t="s">
        <v>401</v>
      </c>
      <c r="D302" t="s">
        <v>354</v>
      </c>
      <c r="E302" t="str">
        <f t="shared" si="28"/>
        <v xml:space="preserve">ΣΤΕΡΕΑΣ ΕΛΛΑΔΑΣ - ΑΓΡΑΦΩΝ, </v>
      </c>
      <c r="F302" s="232" t="s">
        <v>875</v>
      </c>
      <c r="G302" s="232">
        <v>13942</v>
      </c>
      <c r="H302" t="str">
        <f>IFERROR(INDEX(DimosNaiOxi,MATCH(ΤΚ!E302,DimosNai,0)),"")</f>
        <v/>
      </c>
      <c r="I302" t="str">
        <f>LOOKUP(B302,ΠΕΡΙΦΕΡΕΙΑ!$A$2:$A$14,ΠΕΡΙΦΕΡΕΙΑ!$B$2:$B$14)</f>
        <v>Μερική</v>
      </c>
      <c r="J302" t="str">
        <f t="shared" si="32"/>
        <v/>
      </c>
      <c r="K302" s="206" t="e">
        <f t="shared" si="29"/>
        <v>#NUM!</v>
      </c>
      <c r="L302" t="str">
        <f t="shared" si="30"/>
        <v/>
      </c>
      <c r="M302" t="str">
        <f t="shared" si="31"/>
        <v/>
      </c>
      <c r="N302" s="204" t="str">
        <f t="shared" si="33"/>
        <v/>
      </c>
      <c r="O302" s="204" t="str">
        <f t="shared" si="34"/>
        <v/>
      </c>
    </row>
    <row r="303" spans="1:15" x14ac:dyDescent="0.25">
      <c r="A303" s="206">
        <v>302</v>
      </c>
      <c r="B303" t="s">
        <v>414</v>
      </c>
      <c r="C303" t="s">
        <v>399</v>
      </c>
      <c r="D303" t="s">
        <v>340</v>
      </c>
      <c r="E303" t="str">
        <f t="shared" si="28"/>
        <v xml:space="preserve">ΣΤΕΡΕΑΣ ΕΛΛΑΔΑΣ - ΑΛΙΑΡΤΟΥ, </v>
      </c>
      <c r="F303" s="232" t="s">
        <v>876</v>
      </c>
      <c r="G303" s="232">
        <v>13958</v>
      </c>
      <c r="H303" t="str">
        <f>IFERROR(INDEX(DimosNaiOxi,MATCH(ΤΚ!E303,DimosNai,0)),"")</f>
        <v/>
      </c>
      <c r="I303" t="str">
        <f>LOOKUP(B303,ΠΕΡΙΦΕΡΕΙΑ!$A$2:$A$14,ΠΕΡΙΦΕΡΕΙΑ!$B$2:$B$14)</f>
        <v>Μερική</v>
      </c>
      <c r="J303" t="str">
        <f t="shared" si="32"/>
        <v/>
      </c>
      <c r="K303" s="206" t="e">
        <f t="shared" si="29"/>
        <v>#NUM!</v>
      </c>
      <c r="L303" t="str">
        <f t="shared" si="30"/>
        <v/>
      </c>
      <c r="M303" t="str">
        <f t="shared" si="31"/>
        <v/>
      </c>
      <c r="N303" s="204" t="str">
        <f t="shared" si="33"/>
        <v/>
      </c>
      <c r="O303" s="204" t="str">
        <f t="shared" si="34"/>
        <v/>
      </c>
    </row>
    <row r="304" spans="1:15" x14ac:dyDescent="0.25">
      <c r="A304" s="206">
        <v>303</v>
      </c>
      <c r="B304" t="s">
        <v>414</v>
      </c>
      <c r="C304" t="s">
        <v>402</v>
      </c>
      <c r="D304" t="s">
        <v>356</v>
      </c>
      <c r="E304" t="str">
        <f t="shared" si="28"/>
        <v xml:space="preserve">ΣΤΕΡΕΑΣ ΕΛΛΑΔΑΣ - ΑΜΦΙΚΛΕΙΑΣ – ΕΛΑΤΕΙΑΣ, </v>
      </c>
      <c r="F304" s="232" t="s">
        <v>877</v>
      </c>
      <c r="G304" s="232">
        <v>13976</v>
      </c>
      <c r="H304" t="str">
        <f>IFERROR(INDEX(DimosNaiOxi,MATCH(ΤΚ!E304,DimosNai,0)),"")</f>
        <v/>
      </c>
      <c r="I304" t="str">
        <f>LOOKUP(B304,ΠΕΡΙΦΕΡΕΙΑ!$A$2:$A$14,ΠΕΡΙΦΕΡΕΙΑ!$B$2:$B$14)</f>
        <v>Μερική</v>
      </c>
      <c r="J304" t="str">
        <f t="shared" si="32"/>
        <v/>
      </c>
      <c r="K304" s="206" t="e">
        <f t="shared" si="29"/>
        <v>#NUM!</v>
      </c>
      <c r="L304" t="str">
        <f t="shared" si="30"/>
        <v/>
      </c>
      <c r="M304" t="str">
        <f t="shared" si="31"/>
        <v/>
      </c>
      <c r="N304" s="204" t="str">
        <f t="shared" si="33"/>
        <v/>
      </c>
      <c r="O304" s="204" t="str">
        <f t="shared" si="34"/>
        <v/>
      </c>
    </row>
    <row r="305" spans="1:15" x14ac:dyDescent="0.25">
      <c r="A305" s="206">
        <v>304</v>
      </c>
      <c r="B305" t="s">
        <v>414</v>
      </c>
      <c r="C305" t="s">
        <v>403</v>
      </c>
      <c r="D305" t="s">
        <v>363</v>
      </c>
      <c r="E305" t="str">
        <f t="shared" si="28"/>
        <v xml:space="preserve">ΣΤΕΡΕΑΣ ΕΛΛΑΔΑΣ - ΔΕΛΦΩΝ, </v>
      </c>
      <c r="F305" s="232" t="s">
        <v>878</v>
      </c>
      <c r="G305" s="232">
        <v>14058</v>
      </c>
      <c r="H305" t="str">
        <f>IFERROR(INDEX(DimosNaiOxi,MATCH(ΤΚ!E305,DimosNai,0)),"")</f>
        <v/>
      </c>
      <c r="I305" t="str">
        <f>LOOKUP(B305,ΠΕΡΙΦΕΡΕΙΑ!$A$2:$A$14,ΠΕΡΙΦΕΡΕΙΑ!$B$2:$B$14)</f>
        <v>Μερική</v>
      </c>
      <c r="J305" t="str">
        <f t="shared" si="32"/>
        <v/>
      </c>
      <c r="K305" s="206" t="e">
        <f t="shared" si="29"/>
        <v>#NUM!</v>
      </c>
      <c r="L305" t="str">
        <f t="shared" si="30"/>
        <v/>
      </c>
      <c r="M305" t="str">
        <f t="shared" si="31"/>
        <v/>
      </c>
      <c r="N305" s="204" t="str">
        <f t="shared" si="33"/>
        <v/>
      </c>
      <c r="O305" s="204" t="str">
        <f t="shared" si="34"/>
        <v/>
      </c>
    </row>
    <row r="306" spans="1:15" x14ac:dyDescent="0.25">
      <c r="A306" s="206">
        <v>305</v>
      </c>
      <c r="B306" t="s">
        <v>414</v>
      </c>
      <c r="C306" t="s">
        <v>400</v>
      </c>
      <c r="D306" t="s">
        <v>346</v>
      </c>
      <c r="E306" t="str">
        <f t="shared" si="28"/>
        <v xml:space="preserve">ΣΤΕΡΕΑΣ ΕΛΛΑΔΑΣ - ΔΙΡΦΥΩΝ – ΜΕΣΣΑΠΙΩΝ, </v>
      </c>
      <c r="F306" s="232" t="s">
        <v>879</v>
      </c>
      <c r="G306" s="232">
        <v>14066</v>
      </c>
      <c r="H306" t="str">
        <f>IFERROR(INDEX(DimosNaiOxi,MATCH(ΤΚ!E306,DimosNai,0)),"")</f>
        <v/>
      </c>
      <c r="I306" t="str">
        <f>LOOKUP(B306,ΠΕΡΙΦΕΡΕΙΑ!$A$2:$A$14,ΠΕΡΙΦΕΡΕΙΑ!$B$2:$B$14)</f>
        <v>Μερική</v>
      </c>
      <c r="J306" t="str">
        <f t="shared" si="32"/>
        <v/>
      </c>
      <c r="K306" s="206" t="e">
        <f t="shared" si="29"/>
        <v>#NUM!</v>
      </c>
      <c r="L306" t="str">
        <f t="shared" si="30"/>
        <v/>
      </c>
      <c r="M306" t="str">
        <f t="shared" si="31"/>
        <v/>
      </c>
      <c r="N306" s="204" t="str">
        <f t="shared" si="33"/>
        <v/>
      </c>
      <c r="O306" s="204" t="str">
        <f t="shared" si="34"/>
        <v/>
      </c>
    </row>
    <row r="307" spans="1:15" x14ac:dyDescent="0.25">
      <c r="A307" s="206">
        <v>306</v>
      </c>
      <c r="B307" t="s">
        <v>414</v>
      </c>
      <c r="C307" t="s">
        <v>399</v>
      </c>
      <c r="D307" t="s">
        <v>341</v>
      </c>
      <c r="E307" t="str">
        <f t="shared" si="28"/>
        <v xml:space="preserve">ΣΤΕΡΕΑΣ ΕΛΛΑΔΑΣ - ΔΙΣΤΟΜΟΥ – ΑΡΑΧΟΒΑΣ – ΑΝΤΙΚΥΡΑΣ, </v>
      </c>
      <c r="F307" s="232" t="s">
        <v>880</v>
      </c>
      <c r="G307" s="232">
        <v>14068</v>
      </c>
      <c r="H307" t="str">
        <f>IFERROR(INDEX(DimosNaiOxi,MATCH(ΤΚ!E307,DimosNai,0)),"")</f>
        <v/>
      </c>
      <c r="I307" t="str">
        <f>LOOKUP(B307,ΠΕΡΙΦΕΡΕΙΑ!$A$2:$A$14,ΠΕΡΙΦΕΡΕΙΑ!$B$2:$B$14)</f>
        <v>Μερική</v>
      </c>
      <c r="J307" t="str">
        <f t="shared" si="32"/>
        <v/>
      </c>
      <c r="K307" s="206" t="e">
        <f t="shared" si="29"/>
        <v>#NUM!</v>
      </c>
      <c r="L307" t="str">
        <f t="shared" si="30"/>
        <v/>
      </c>
      <c r="M307" t="str">
        <f t="shared" si="31"/>
        <v/>
      </c>
      <c r="N307" s="204" t="str">
        <f t="shared" si="33"/>
        <v/>
      </c>
      <c r="O307" s="204" t="str">
        <f t="shared" si="34"/>
        <v/>
      </c>
    </row>
    <row r="308" spans="1:15" x14ac:dyDescent="0.25">
      <c r="A308" s="206">
        <v>307</v>
      </c>
      <c r="B308" t="s">
        <v>414</v>
      </c>
      <c r="C308" t="s">
        <v>402</v>
      </c>
      <c r="D308" t="s">
        <v>357</v>
      </c>
      <c r="E308" t="str">
        <f t="shared" si="28"/>
        <v xml:space="preserve">ΣΤΕΡΕΑΣ ΕΛΛΑΔΑΣ - ΔΟΜΟΚΟΥ, </v>
      </c>
      <c r="F308" s="232" t="s">
        <v>881</v>
      </c>
      <c r="G308" s="232">
        <v>14070</v>
      </c>
      <c r="H308" t="str">
        <f>IFERROR(INDEX(DimosNaiOxi,MATCH(ΤΚ!E308,DimosNai,0)),"")</f>
        <v/>
      </c>
      <c r="I308" t="str">
        <f>LOOKUP(B308,ΠΕΡΙΦΕΡΕΙΑ!$A$2:$A$14,ΠΕΡΙΦΕΡΕΙΑ!$B$2:$B$14)</f>
        <v>Μερική</v>
      </c>
      <c r="J308" t="str">
        <f t="shared" si="32"/>
        <v/>
      </c>
      <c r="K308" s="206" t="e">
        <f t="shared" si="29"/>
        <v>#NUM!</v>
      </c>
      <c r="L308" t="str">
        <f t="shared" si="30"/>
        <v/>
      </c>
      <c r="M308" t="str">
        <f t="shared" si="31"/>
        <v/>
      </c>
      <c r="N308" s="204" t="str">
        <f t="shared" si="33"/>
        <v/>
      </c>
      <c r="O308" s="204" t="str">
        <f t="shared" si="34"/>
        <v/>
      </c>
    </row>
    <row r="309" spans="1:15" x14ac:dyDescent="0.25">
      <c r="A309" s="206">
        <v>308</v>
      </c>
      <c r="B309" t="s">
        <v>414</v>
      </c>
      <c r="C309" t="s">
        <v>403</v>
      </c>
      <c r="D309" t="s">
        <v>364</v>
      </c>
      <c r="E309" t="str">
        <f t="shared" si="28"/>
        <v xml:space="preserve">ΣΤΕΡΕΑΣ ΕΛΛΑΔΑΣ - ΔΩΡΙΔΟΣ, </v>
      </c>
      <c r="F309" s="232" t="s">
        <v>882</v>
      </c>
      <c r="G309" s="232">
        <v>14082</v>
      </c>
      <c r="H309" t="str">
        <f>IFERROR(INDEX(DimosNaiOxi,MATCH(ΤΚ!E309,DimosNai,0)),"")</f>
        <v/>
      </c>
      <c r="I309" t="str">
        <f>LOOKUP(B309,ΠΕΡΙΦΕΡΕΙΑ!$A$2:$A$14,ΠΕΡΙΦΕΡΕΙΑ!$B$2:$B$14)</f>
        <v>Μερική</v>
      </c>
      <c r="J309" t="str">
        <f t="shared" si="32"/>
        <v/>
      </c>
      <c r="K309" s="206" t="e">
        <f t="shared" si="29"/>
        <v>#NUM!</v>
      </c>
      <c r="L309" t="str">
        <f t="shared" si="30"/>
        <v/>
      </c>
      <c r="M309" t="str">
        <f t="shared" si="31"/>
        <v/>
      </c>
      <c r="N309" s="204" t="str">
        <f t="shared" si="33"/>
        <v/>
      </c>
      <c r="O309" s="204" t="str">
        <f t="shared" si="34"/>
        <v/>
      </c>
    </row>
    <row r="310" spans="1:15" x14ac:dyDescent="0.25">
      <c r="A310" s="206">
        <v>309</v>
      </c>
      <c r="B310" t="s">
        <v>414</v>
      </c>
      <c r="C310" t="s">
        <v>400</v>
      </c>
      <c r="D310" t="s">
        <v>347</v>
      </c>
      <c r="E310" t="str">
        <f t="shared" si="28"/>
        <v xml:space="preserve">ΣΤΕΡΕΑΣ ΕΛΛΑΔΑΣ - ΕΡΕΤΡΙΑΣ, </v>
      </c>
      <c r="F310" s="232" t="s">
        <v>883</v>
      </c>
      <c r="G310" s="232">
        <v>14098</v>
      </c>
      <c r="H310" t="str">
        <f>IFERROR(INDEX(DimosNaiOxi,MATCH(ΤΚ!E310,DimosNai,0)),"")</f>
        <v/>
      </c>
      <c r="I310" t="str">
        <f>LOOKUP(B310,ΠΕΡΙΦΕΡΕΙΑ!$A$2:$A$14,ΠΕΡΙΦΕΡΕΙΑ!$B$2:$B$14)</f>
        <v>Μερική</v>
      </c>
      <c r="J310" t="str">
        <f t="shared" si="32"/>
        <v/>
      </c>
      <c r="K310" s="206" t="e">
        <f t="shared" si="29"/>
        <v>#NUM!</v>
      </c>
      <c r="L310" t="str">
        <f t="shared" si="30"/>
        <v/>
      </c>
      <c r="M310" t="str">
        <f t="shared" si="31"/>
        <v/>
      </c>
      <c r="N310" s="204" t="str">
        <f t="shared" si="33"/>
        <v/>
      </c>
      <c r="O310" s="204" t="str">
        <f t="shared" si="34"/>
        <v/>
      </c>
    </row>
    <row r="311" spans="1:15" x14ac:dyDescent="0.25">
      <c r="A311" s="206">
        <v>310</v>
      </c>
      <c r="B311" t="s">
        <v>414</v>
      </c>
      <c r="C311" t="s">
        <v>399</v>
      </c>
      <c r="D311" t="s">
        <v>342</v>
      </c>
      <c r="E311" t="str">
        <f t="shared" si="28"/>
        <v xml:space="preserve">ΣΤΕΡΕΑΣ ΕΛΛΑΔΑΣ - ΘΗΒΑΙΩΝ, </v>
      </c>
      <c r="F311" s="232" t="s">
        <v>884</v>
      </c>
      <c r="G311" s="232">
        <v>14140</v>
      </c>
      <c r="H311" t="str">
        <f>IFERROR(INDEX(DimosNaiOxi,MATCH(ΤΚ!E311,DimosNai,0)),"")</f>
        <v/>
      </c>
      <c r="I311" t="str">
        <f>LOOKUP(B311,ΠΕΡΙΦΕΡΕΙΑ!$A$2:$A$14,ΠΕΡΙΦΕΡΕΙΑ!$B$2:$B$14)</f>
        <v>Μερική</v>
      </c>
      <c r="J311" t="str">
        <f t="shared" si="32"/>
        <v/>
      </c>
      <c r="K311" s="206" t="e">
        <f t="shared" si="29"/>
        <v>#NUM!</v>
      </c>
      <c r="L311" t="str">
        <f t="shared" si="30"/>
        <v/>
      </c>
      <c r="M311" t="str">
        <f t="shared" si="31"/>
        <v/>
      </c>
      <c r="N311" s="204" t="str">
        <f t="shared" si="33"/>
        <v/>
      </c>
      <c r="O311" s="204" t="str">
        <f t="shared" si="34"/>
        <v/>
      </c>
    </row>
    <row r="312" spans="1:15" x14ac:dyDescent="0.25">
      <c r="A312" s="206">
        <v>311</v>
      </c>
      <c r="B312" t="s">
        <v>414</v>
      </c>
      <c r="C312" t="s">
        <v>400</v>
      </c>
      <c r="D312" t="s">
        <v>348</v>
      </c>
      <c r="E312" t="str">
        <f t="shared" si="28"/>
        <v xml:space="preserve">ΣΤΕΡΕΑΣ ΕΛΛΑΔΑΣ - ΙΣΤΙΑΙΑΣ – ΑΙΔΗΨΟΥ, </v>
      </c>
      <c r="F312" s="232" t="s">
        <v>885</v>
      </c>
      <c r="G312" s="232">
        <v>14156</v>
      </c>
      <c r="H312" t="str">
        <f>IFERROR(INDEX(DimosNaiOxi,MATCH(ΤΚ!E312,DimosNai,0)),"")</f>
        <v/>
      </c>
      <c r="I312" t="str">
        <f>LOOKUP(B312,ΠΕΡΙΦΕΡΕΙΑ!$A$2:$A$14,ΠΕΡΙΦΕΡΕΙΑ!$B$2:$B$14)</f>
        <v>Μερική</v>
      </c>
      <c r="J312" t="str">
        <f t="shared" si="32"/>
        <v/>
      </c>
      <c r="K312" s="206" t="e">
        <f t="shared" si="29"/>
        <v>#NUM!</v>
      </c>
      <c r="L312" t="str">
        <f t="shared" si="30"/>
        <v/>
      </c>
      <c r="M312" t="str">
        <f t="shared" si="31"/>
        <v/>
      </c>
      <c r="N312" s="204" t="str">
        <f t="shared" si="33"/>
        <v/>
      </c>
      <c r="O312" s="204" t="str">
        <f t="shared" si="34"/>
        <v/>
      </c>
    </row>
    <row r="313" spans="1:15" x14ac:dyDescent="0.25">
      <c r="A313" s="206">
        <v>312</v>
      </c>
      <c r="B313" t="s">
        <v>414</v>
      </c>
      <c r="C313" t="s">
        <v>401</v>
      </c>
      <c r="D313" t="s">
        <v>355</v>
      </c>
      <c r="E313" t="str">
        <f t="shared" si="28"/>
        <v xml:space="preserve">ΣΤΕΡΕΑΣ ΕΛΛΑΔΑΣ - ΚΑΡΠΕΝΗΣΙΟΥ, </v>
      </c>
      <c r="F313" s="232" t="s">
        <v>886</v>
      </c>
      <c r="G313" s="232">
        <v>14198</v>
      </c>
      <c r="H313" t="str">
        <f>IFERROR(INDEX(DimosNaiOxi,MATCH(ΤΚ!E313,DimosNai,0)),"")</f>
        <v/>
      </c>
      <c r="I313" t="str">
        <f>LOOKUP(B313,ΠΕΡΙΦΕΡΕΙΑ!$A$2:$A$14,ΠΕΡΙΦΕΡΕΙΑ!$B$2:$B$14)</f>
        <v>Μερική</v>
      </c>
      <c r="J313" t="str">
        <f t="shared" si="32"/>
        <v/>
      </c>
      <c r="K313" s="206" t="e">
        <f t="shared" si="29"/>
        <v>#NUM!</v>
      </c>
      <c r="L313" t="str">
        <f t="shared" si="30"/>
        <v/>
      </c>
      <c r="M313" t="str">
        <f t="shared" si="31"/>
        <v/>
      </c>
      <c r="N313" s="204" t="str">
        <f t="shared" si="33"/>
        <v/>
      </c>
      <c r="O313" s="204" t="str">
        <f t="shared" si="34"/>
        <v/>
      </c>
    </row>
    <row r="314" spans="1:15" x14ac:dyDescent="0.25">
      <c r="A314" s="206">
        <v>313</v>
      </c>
      <c r="B314" t="s">
        <v>414</v>
      </c>
      <c r="C314" t="s">
        <v>400</v>
      </c>
      <c r="D314" t="s">
        <v>349</v>
      </c>
      <c r="E314" t="str">
        <f t="shared" si="28"/>
        <v xml:space="preserve">ΣΤΕΡΕΑΣ ΕΛΛΑΔΑΣ - ΚΑΡΥΣΤΟΥ, </v>
      </c>
      <c r="F314" s="232" t="s">
        <v>887</v>
      </c>
      <c r="G314" s="232">
        <v>14192</v>
      </c>
      <c r="H314" t="str">
        <f>IFERROR(INDEX(DimosNaiOxi,MATCH(ΤΚ!E314,DimosNai,0)),"")</f>
        <v/>
      </c>
      <c r="I314" t="str">
        <f>LOOKUP(B314,ΠΕΡΙΦΕΡΕΙΑ!$A$2:$A$14,ΠΕΡΙΦΕΡΕΙΑ!$B$2:$B$14)</f>
        <v>Μερική</v>
      </c>
      <c r="J314" t="str">
        <f t="shared" si="32"/>
        <v/>
      </c>
      <c r="K314" s="206" t="e">
        <f t="shared" si="29"/>
        <v>#NUM!</v>
      </c>
      <c r="L314" t="str">
        <f t="shared" si="30"/>
        <v/>
      </c>
      <c r="M314" t="str">
        <f t="shared" si="31"/>
        <v/>
      </c>
      <c r="N314" s="204" t="str">
        <f t="shared" si="33"/>
        <v/>
      </c>
      <c r="O314" s="204" t="str">
        <f t="shared" si="34"/>
        <v/>
      </c>
    </row>
    <row r="315" spans="1:15" x14ac:dyDescent="0.25">
      <c r="A315" s="206">
        <v>314</v>
      </c>
      <c r="B315" t="s">
        <v>414</v>
      </c>
      <c r="C315" t="s">
        <v>400</v>
      </c>
      <c r="D315" t="s">
        <v>350</v>
      </c>
      <c r="E315" t="str">
        <f t="shared" si="28"/>
        <v xml:space="preserve">ΣΤΕΡΕΑΣ ΕΛΛΑΔΑΣ - ΚΥΜΗΣ – ΑΛΙΒΕΡΙΟΥ, </v>
      </c>
      <c r="F315" s="232" t="s">
        <v>888</v>
      </c>
      <c r="G315" s="232">
        <v>14172</v>
      </c>
      <c r="H315" t="str">
        <f>IFERROR(INDEX(DimosNaiOxi,MATCH(ΤΚ!E315,DimosNai,0)),"")</f>
        <v/>
      </c>
      <c r="I315" t="str">
        <f>LOOKUP(B315,ΠΕΡΙΦΕΡΕΙΑ!$A$2:$A$14,ΠΕΡΙΦΕΡΕΙΑ!$B$2:$B$14)</f>
        <v>Μερική</v>
      </c>
      <c r="J315" t="str">
        <f t="shared" si="32"/>
        <v/>
      </c>
      <c r="K315" s="206" t="e">
        <f t="shared" si="29"/>
        <v>#NUM!</v>
      </c>
      <c r="L315" t="str">
        <f t="shared" si="30"/>
        <v/>
      </c>
      <c r="M315" t="str">
        <f t="shared" si="31"/>
        <v/>
      </c>
      <c r="N315" s="204" t="str">
        <f t="shared" si="33"/>
        <v/>
      </c>
      <c r="O315" s="204" t="str">
        <f t="shared" si="34"/>
        <v/>
      </c>
    </row>
    <row r="316" spans="1:15" x14ac:dyDescent="0.25">
      <c r="A316" s="206">
        <v>315</v>
      </c>
      <c r="B316" t="s">
        <v>414</v>
      </c>
      <c r="C316" t="s">
        <v>402</v>
      </c>
      <c r="D316" t="s">
        <v>358</v>
      </c>
      <c r="E316" t="str">
        <f t="shared" si="28"/>
        <v xml:space="preserve">ΣΤΕΡΕΑΣ ΕΛΛΑΔΑΣ - ΛΑΜΙΕΩΝ, </v>
      </c>
      <c r="F316" s="232" t="s">
        <v>889</v>
      </c>
      <c r="G316" s="232">
        <v>14248</v>
      </c>
      <c r="H316" t="str">
        <f>IFERROR(INDEX(DimosNaiOxi,MATCH(ΤΚ!E316,DimosNai,0)),"")</f>
        <v>ΝΑΙ</v>
      </c>
      <c r="I316" t="str">
        <f>LOOKUP(B316,ΠΕΡΙΦΕΡΕΙΑ!$A$2:$A$14,ΠΕΡΙΦΕΡΕΙΑ!$B$2:$B$14)</f>
        <v>Μερική</v>
      </c>
      <c r="J316">
        <f t="shared" si="32"/>
        <v>315</v>
      </c>
      <c r="K316" s="206" t="e">
        <f t="shared" si="29"/>
        <v>#NUM!</v>
      </c>
      <c r="L316" t="str">
        <f t="shared" si="30"/>
        <v/>
      </c>
      <c r="M316" t="str">
        <f t="shared" si="31"/>
        <v/>
      </c>
      <c r="N316" s="204" t="str">
        <f t="shared" si="33"/>
        <v/>
      </c>
      <c r="O316" s="204" t="str">
        <f t="shared" si="34"/>
        <v/>
      </c>
    </row>
    <row r="317" spans="1:15" x14ac:dyDescent="0.25">
      <c r="A317" s="206">
        <v>316</v>
      </c>
      <c r="B317" t="s">
        <v>414</v>
      </c>
      <c r="C317" t="s">
        <v>399</v>
      </c>
      <c r="D317" t="s">
        <v>343</v>
      </c>
      <c r="E317" t="str">
        <f t="shared" si="28"/>
        <v xml:space="preserve">ΣΤΕΡΕΑΣ ΕΛΛΑΔΑΣ - ΛΕΒΑΔΕΩΝ, </v>
      </c>
      <c r="F317" s="232" t="s">
        <v>890</v>
      </c>
      <c r="G317" s="232">
        <v>14254</v>
      </c>
      <c r="H317" t="str">
        <f>IFERROR(INDEX(DimosNaiOxi,MATCH(ΤΚ!E317,DimosNai,0)),"")</f>
        <v/>
      </c>
      <c r="I317" t="str">
        <f>LOOKUP(B317,ΠΕΡΙΦΕΡΕΙΑ!$A$2:$A$14,ΠΕΡΙΦΕΡΕΙΑ!$B$2:$B$14)</f>
        <v>Μερική</v>
      </c>
      <c r="J317" t="str">
        <f t="shared" si="32"/>
        <v/>
      </c>
      <c r="K317" s="206" t="e">
        <f t="shared" si="29"/>
        <v>#NUM!</v>
      </c>
      <c r="L317" t="str">
        <f t="shared" si="30"/>
        <v/>
      </c>
      <c r="M317" t="str">
        <f t="shared" si="31"/>
        <v/>
      </c>
      <c r="N317" s="204" t="str">
        <f t="shared" si="33"/>
        <v/>
      </c>
      <c r="O317" s="204" t="str">
        <f t="shared" si="34"/>
        <v/>
      </c>
    </row>
    <row r="318" spans="1:15" x14ac:dyDescent="0.25">
      <c r="A318" s="206">
        <v>317</v>
      </c>
      <c r="B318" t="s">
        <v>414</v>
      </c>
      <c r="C318" t="s">
        <v>402</v>
      </c>
      <c r="D318" t="s">
        <v>359</v>
      </c>
      <c r="E318" t="str">
        <f t="shared" si="28"/>
        <v xml:space="preserve">ΣΤΕΡΕΑΣ ΕΛΛΑΔΑΣ - ΛΟΚΡΩΝ, </v>
      </c>
      <c r="F318" s="232" t="s">
        <v>891</v>
      </c>
      <c r="G318" s="232">
        <v>14260</v>
      </c>
      <c r="H318" t="str">
        <f>IFERROR(INDEX(DimosNaiOxi,MATCH(ΤΚ!E318,DimosNai,0)),"")</f>
        <v/>
      </c>
      <c r="I318" t="str">
        <f>LOOKUP(B318,ΠΕΡΙΦΕΡΕΙΑ!$A$2:$A$14,ΠΕΡΙΦΕΡΕΙΑ!$B$2:$B$14)</f>
        <v>Μερική</v>
      </c>
      <c r="J318" t="str">
        <f t="shared" si="32"/>
        <v/>
      </c>
      <c r="K318" s="206" t="e">
        <f t="shared" si="29"/>
        <v>#NUM!</v>
      </c>
      <c r="L318" t="str">
        <f t="shared" si="30"/>
        <v/>
      </c>
      <c r="M318" t="str">
        <f t="shared" si="31"/>
        <v/>
      </c>
      <c r="N318" s="204" t="str">
        <f t="shared" si="33"/>
        <v/>
      </c>
      <c r="O318" s="204" t="str">
        <f t="shared" si="34"/>
        <v/>
      </c>
    </row>
    <row r="319" spans="1:15" x14ac:dyDescent="0.25">
      <c r="A319" s="206">
        <v>318</v>
      </c>
      <c r="B319" t="s">
        <v>414</v>
      </c>
      <c r="C319" t="s">
        <v>402</v>
      </c>
      <c r="D319" t="s">
        <v>360</v>
      </c>
      <c r="E319" t="str">
        <f t="shared" si="28"/>
        <v xml:space="preserve">ΣΤΕΡΕΑΣ ΕΛΛΑΔΑΣ - ΜΑΚΡΑΚΩΜΗΣ, </v>
      </c>
      <c r="F319" s="232" t="s">
        <v>892</v>
      </c>
      <c r="G319" s="232">
        <v>14274</v>
      </c>
      <c r="H319" t="str">
        <f>IFERROR(INDEX(DimosNaiOxi,MATCH(ΤΚ!E319,DimosNai,0)),"")</f>
        <v/>
      </c>
      <c r="I319" t="str">
        <f>LOOKUP(B319,ΠΕΡΙΦΕΡΕΙΑ!$A$2:$A$14,ΠΕΡΙΦΕΡΕΙΑ!$B$2:$B$14)</f>
        <v>Μερική</v>
      </c>
      <c r="J319" t="str">
        <f t="shared" si="32"/>
        <v/>
      </c>
      <c r="K319" s="206" t="e">
        <f t="shared" si="29"/>
        <v>#NUM!</v>
      </c>
      <c r="L319" t="str">
        <f t="shared" si="30"/>
        <v/>
      </c>
      <c r="M319" t="str">
        <f t="shared" si="31"/>
        <v/>
      </c>
      <c r="N319" s="204" t="str">
        <f t="shared" si="33"/>
        <v/>
      </c>
      <c r="O319" s="204" t="str">
        <f t="shared" si="34"/>
        <v/>
      </c>
    </row>
    <row r="320" spans="1:15" x14ac:dyDescent="0.25">
      <c r="A320" s="206">
        <v>319</v>
      </c>
      <c r="B320" t="s">
        <v>414</v>
      </c>
      <c r="C320" t="s">
        <v>400</v>
      </c>
      <c r="D320" t="s">
        <v>351</v>
      </c>
      <c r="E320" t="str">
        <f t="shared" si="28"/>
        <v xml:space="preserve">ΣΤΕΡΕΑΣ ΕΛΛΑΔΑΣ - ΜΑΝΤΟΥΔΙΟΥ – ΛΙΜΝΗΣ – ΑΓΙΑΣ ΑΝΝΑΣ, </v>
      </c>
      <c r="F320" s="232" t="s">
        <v>893</v>
      </c>
      <c r="G320" s="232">
        <v>14278</v>
      </c>
      <c r="H320" t="str">
        <f>IFERROR(INDEX(DimosNaiOxi,MATCH(ΤΚ!E320,DimosNai,0)),"")</f>
        <v/>
      </c>
      <c r="I320" t="str">
        <f>LOOKUP(B320,ΠΕΡΙΦΕΡΕΙΑ!$A$2:$A$14,ΠΕΡΙΦΕΡΕΙΑ!$B$2:$B$14)</f>
        <v>Μερική</v>
      </c>
      <c r="J320" t="str">
        <f t="shared" si="32"/>
        <v/>
      </c>
      <c r="K320" s="206" t="e">
        <f t="shared" si="29"/>
        <v>#NUM!</v>
      </c>
      <c r="L320" t="str">
        <f t="shared" si="30"/>
        <v/>
      </c>
      <c r="M320" t="str">
        <f t="shared" si="31"/>
        <v/>
      </c>
      <c r="N320" s="204" t="str">
        <f t="shared" si="33"/>
        <v/>
      </c>
      <c r="O320" s="204" t="str">
        <f t="shared" si="34"/>
        <v/>
      </c>
    </row>
    <row r="321" spans="1:15" x14ac:dyDescent="0.25">
      <c r="A321" s="206">
        <v>320</v>
      </c>
      <c r="B321" t="s">
        <v>414</v>
      </c>
      <c r="C321" t="s">
        <v>402</v>
      </c>
      <c r="D321" t="s">
        <v>361</v>
      </c>
      <c r="E321" t="str">
        <f t="shared" si="28"/>
        <v xml:space="preserve">ΣΤΕΡΕΑΣ ΕΛΛΑΔΑΣ - ΜΩΛΟΥ – ΑΓΙΟΥ ΚΩΝΣΤΑΝΤΙΝΟΥ, </v>
      </c>
      <c r="F321" s="232" t="s">
        <v>894</v>
      </c>
      <c r="G321" s="232">
        <v>14272</v>
      </c>
      <c r="H321" t="str">
        <f>IFERROR(INDEX(DimosNaiOxi,MATCH(ΤΚ!E321,DimosNai,0)),"")</f>
        <v/>
      </c>
      <c r="I321" t="str">
        <f>LOOKUP(B321,ΠΕΡΙΦΕΡΕΙΑ!$A$2:$A$14,ΠΕΡΙΦΕΡΕΙΑ!$B$2:$B$14)</f>
        <v>Μερική</v>
      </c>
      <c r="J321" t="str">
        <f t="shared" si="32"/>
        <v/>
      </c>
      <c r="K321" s="206" t="e">
        <f t="shared" si="29"/>
        <v>#NUM!</v>
      </c>
      <c r="L321" t="str">
        <f t="shared" si="30"/>
        <v/>
      </c>
      <c r="M321" t="str">
        <f t="shared" si="31"/>
        <v/>
      </c>
      <c r="N321" s="204" t="str">
        <f t="shared" si="33"/>
        <v/>
      </c>
      <c r="O321" s="204" t="str">
        <f t="shared" si="34"/>
        <v/>
      </c>
    </row>
    <row r="322" spans="1:15" x14ac:dyDescent="0.25">
      <c r="A322" s="206">
        <v>321</v>
      </c>
      <c r="B322" t="s">
        <v>414</v>
      </c>
      <c r="C322" t="s">
        <v>399</v>
      </c>
      <c r="D322" t="s">
        <v>344</v>
      </c>
      <c r="E322" t="str">
        <f t="shared" ref="E322:E326" si="35">B322&amp;" - "&amp;D322&amp;", "</f>
        <v xml:space="preserve">ΣΤΕΡΕΑΣ ΕΛΛΑΔΑΣ - ΟΡΧΟΜΕΝΟΥ, </v>
      </c>
      <c r="F322" s="232" t="s">
        <v>895</v>
      </c>
      <c r="G322" s="232">
        <v>14362</v>
      </c>
      <c r="H322" t="str">
        <f>IFERROR(INDEX(DimosNaiOxi,MATCH(ΤΚ!E322,DimosNai,0)),"")</f>
        <v/>
      </c>
      <c r="I322" t="str">
        <f>LOOKUP(B322,ΠΕΡΙΦΕΡΕΙΑ!$A$2:$A$14,ΠΕΡΙΦΕΡΕΙΑ!$B$2:$B$14)</f>
        <v>Μερική</v>
      </c>
      <c r="J322" t="str">
        <f t="shared" si="32"/>
        <v/>
      </c>
      <c r="K322" s="206" t="e">
        <f t="shared" ref="K322:K326" si="36">SMALL(J:J,A322)</f>
        <v>#NUM!</v>
      </c>
      <c r="L322" t="str">
        <f t="shared" ref="L322:L326" si="37">IF(ISNUMBER(K322),LOOKUP(K322,A:A,B:B),"")</f>
        <v/>
      </c>
      <c r="M322" t="str">
        <f t="shared" si="31"/>
        <v/>
      </c>
      <c r="N322" s="204" t="str">
        <f t="shared" si="33"/>
        <v/>
      </c>
      <c r="O322" s="204" t="str">
        <f t="shared" si="34"/>
        <v/>
      </c>
    </row>
    <row r="323" spans="1:15" x14ac:dyDescent="0.25">
      <c r="A323" s="206">
        <v>322</v>
      </c>
      <c r="B323" t="s">
        <v>414</v>
      </c>
      <c r="C323" t="s">
        <v>400</v>
      </c>
      <c r="D323" t="s">
        <v>352</v>
      </c>
      <c r="E323" t="str">
        <f t="shared" si="35"/>
        <v xml:space="preserve">ΣΤΕΡΕΑΣ ΕΛΛΑΔΑΣ - ΣΚΥΡΟΥ, </v>
      </c>
      <c r="F323" s="232" t="s">
        <v>896</v>
      </c>
      <c r="G323" s="232">
        <v>14470</v>
      </c>
      <c r="H323" t="str">
        <f>IFERROR(INDEX(DimosNaiOxi,MATCH(ΤΚ!E323,DimosNai,0)),"")</f>
        <v/>
      </c>
      <c r="I323" t="str">
        <f>LOOKUP(B323,ΠΕΡΙΦΕΡΕΙΑ!$A$2:$A$14,ΠΕΡΙΦΕΡΕΙΑ!$B$2:$B$14)</f>
        <v>Μερική</v>
      </c>
      <c r="J323" t="str">
        <f t="shared" ref="J323:J326" si="38">IF(OR(AND(I323="Μερική",H323="ΝΑΙ"),I323="Ολική"),A323,"")</f>
        <v/>
      </c>
      <c r="K323" s="206" t="e">
        <f t="shared" si="36"/>
        <v>#NUM!</v>
      </c>
      <c r="L323" t="str">
        <f t="shared" si="37"/>
        <v/>
      </c>
      <c r="M323" t="str">
        <f t="shared" si="31"/>
        <v/>
      </c>
      <c r="N323" s="204" t="str">
        <f t="shared" ref="N323:N326" si="39">IF(ISNUMBER(K323),LOOKUP(K323,A:A,G:G),"")</f>
        <v/>
      </c>
      <c r="O323" s="204" t="str">
        <f t="shared" ref="O323:O326" si="40">IF(ISNUMBER(K323),LOOKUP(K323,A:A,F:F),"")</f>
        <v/>
      </c>
    </row>
    <row r="324" spans="1:15" x14ac:dyDescent="0.25">
      <c r="A324" s="206">
        <v>323</v>
      </c>
      <c r="B324" t="s">
        <v>414</v>
      </c>
      <c r="C324" t="s">
        <v>402</v>
      </c>
      <c r="D324" t="s">
        <v>362</v>
      </c>
      <c r="E324" t="str">
        <f t="shared" si="35"/>
        <v xml:space="preserve">ΣΤΕΡΕΑΣ ΕΛΛΑΔΑΣ - ΣΤΥΛΙΔΟΣ, </v>
      </c>
      <c r="F324" s="232" t="s">
        <v>897</v>
      </c>
      <c r="G324" s="232">
        <v>14488</v>
      </c>
      <c r="H324" t="str">
        <f>IFERROR(INDEX(DimosNaiOxi,MATCH(ΤΚ!E324,DimosNai,0)),"")</f>
        <v/>
      </c>
      <c r="I324" t="str">
        <f>LOOKUP(B324,ΠΕΡΙΦΕΡΕΙΑ!$A$2:$A$14,ΠΕΡΙΦΕΡΕΙΑ!$B$2:$B$14)</f>
        <v>Μερική</v>
      </c>
      <c r="J324" t="str">
        <f t="shared" si="38"/>
        <v/>
      </c>
      <c r="K324" s="206" t="e">
        <f t="shared" si="36"/>
        <v>#NUM!</v>
      </c>
      <c r="L324" t="str">
        <f t="shared" si="37"/>
        <v/>
      </c>
      <c r="M324" t="str">
        <f t="shared" si="31"/>
        <v/>
      </c>
      <c r="N324" s="204" t="str">
        <f t="shared" si="39"/>
        <v/>
      </c>
      <c r="O324" s="204" t="str">
        <f t="shared" si="40"/>
        <v/>
      </c>
    </row>
    <row r="325" spans="1:15" x14ac:dyDescent="0.25">
      <c r="A325" s="206">
        <v>324</v>
      </c>
      <c r="B325" t="s">
        <v>414</v>
      </c>
      <c r="C325" t="s">
        <v>399</v>
      </c>
      <c r="D325" t="s">
        <v>345</v>
      </c>
      <c r="E325" t="str">
        <f t="shared" si="35"/>
        <v xml:space="preserve">ΣΤΕΡΕΑΣ ΕΛΛΑΔΑΣ - ΤΑΝΑΓΡΑΣ, </v>
      </c>
      <c r="F325" s="232" t="s">
        <v>898</v>
      </c>
      <c r="G325" s="232">
        <v>14496</v>
      </c>
      <c r="H325" t="str">
        <f>IFERROR(INDEX(DimosNaiOxi,MATCH(ΤΚ!E325,DimosNai,0)),"")</f>
        <v/>
      </c>
      <c r="I325" t="str">
        <f>LOOKUP(B325,ΠΕΡΙΦΕΡΕΙΑ!$A$2:$A$14,ΠΕΡΙΦΕΡΕΙΑ!$B$2:$B$14)</f>
        <v>Μερική</v>
      </c>
      <c r="J325" t="str">
        <f t="shared" si="38"/>
        <v/>
      </c>
      <c r="K325" s="206" t="e">
        <f t="shared" si="36"/>
        <v>#NUM!</v>
      </c>
      <c r="L325" t="str">
        <f t="shared" si="37"/>
        <v/>
      </c>
      <c r="M325" t="str">
        <f t="shared" si="31"/>
        <v/>
      </c>
      <c r="N325" s="204" t="str">
        <f t="shared" si="39"/>
        <v/>
      </c>
      <c r="O325" s="204" t="str">
        <f t="shared" si="40"/>
        <v/>
      </c>
    </row>
    <row r="326" spans="1:15" x14ac:dyDescent="0.25">
      <c r="A326" s="206">
        <v>325</v>
      </c>
      <c r="B326" t="s">
        <v>414</v>
      </c>
      <c r="C326" t="s">
        <v>400</v>
      </c>
      <c r="D326" t="s">
        <v>353</v>
      </c>
      <c r="E326" t="str">
        <f t="shared" si="35"/>
        <v xml:space="preserve">ΣΤΕΡΕΑΣ ΕΛΛΑΔΑΣ - ΧΑΛΚΙΔΕΩΝ, </v>
      </c>
      <c r="F326" s="232" t="s">
        <v>899</v>
      </c>
      <c r="G326" s="232">
        <v>14540</v>
      </c>
      <c r="H326" t="str">
        <f>IFERROR(INDEX(DimosNaiOxi,MATCH(ΤΚ!E326,DimosNai,0)),"")</f>
        <v>ΝΑΙ</v>
      </c>
      <c r="I326" t="str">
        <f>LOOKUP(B326,ΠΕΡΙΦΕΡΕΙΑ!$A$2:$A$14,ΠΕΡΙΦΕΡΕΙΑ!$B$2:$B$14)</f>
        <v>Μερική</v>
      </c>
      <c r="J326">
        <f t="shared" si="38"/>
        <v>325</v>
      </c>
      <c r="K326" s="206" t="e">
        <f t="shared" si="36"/>
        <v>#NUM!</v>
      </c>
      <c r="L326" t="str">
        <f t="shared" si="37"/>
        <v/>
      </c>
      <c r="M326" t="str">
        <f t="shared" si="31"/>
        <v/>
      </c>
      <c r="N326" s="204" t="str">
        <f t="shared" si="39"/>
        <v/>
      </c>
      <c r="O326" s="204" t="str">
        <f t="shared" si="40"/>
        <v/>
      </c>
    </row>
  </sheetData>
  <sortState ref="B2:D326">
    <sortCondition ref="B2:B326"/>
    <sortCondition ref="D2:D326"/>
  </sortState>
  <hyperlinks>
    <hyperlink ref="D309" r:id="rId1" tooltip="Δήμος Δωρίδας" display="http://www.dimosprofile.gr/media/dimos-doridas/"/>
    <hyperlink ref="D318" r:id="rId2" tooltip="Δήμος Λοκρών" display="http://www.dimosprofile.gr/media/dimos-lokron/"/>
    <hyperlink ref="D315" r:id="rId3" display="http://www.dimosprofile.gr/media/dimos-kymis/"/>
    <hyperlink ref="D314" r:id="rId4" tooltip="Δήμος Καρύστου" display="http://www.dimosprofile.gr/media/dimos-karistou/"/>
    <hyperlink ref="D311" r:id="rId5" display="http://www.dimosprofile.gr/media/dimos-thivas/"/>
    <hyperlink ref="D291" r:id="rId6" tooltip="Δήμος Μονεμβασιάς" display="http://www.dimosprofile.gr/media/dimos-monevasias/"/>
    <hyperlink ref="D294" r:id="rId7" display="http://www.dimosprofile.gr/media/dimos-notias-kinoyrias/"/>
    <hyperlink ref="D249" r:id="rId8" display="http://www.dimosprofile.gr/media/dimos-iou/"/>
    <hyperlink ref="D228" r:id="rId9" display="http://www.dimosprofile.gr/media/dimos-ierapetras/"/>
    <hyperlink ref="D190" r:id="rId10" tooltip="Δήμος Έδεσσας" display="http://www.dimosprofile.gr/media/dimos-edessas/"/>
    <hyperlink ref="D175" r:id="rId11" display="http://www.dimosprofile.gr/media/dimos-kerkyras/"/>
    <hyperlink ref="D154" r:id="rId12" display="http://www.dimosprofile.gr/media/dimos-mouresiou/"/>
    <hyperlink ref="D144" r:id="rId13" tooltip="Δήμος Πρέβεζας" display="http://www.dimosprofile.gr/media/dimos-prevezas/"/>
    <hyperlink ref="D129" r:id="rId14" display="http://www.dimosprofile.gr/media/dimos-florinas/"/>
    <hyperlink ref="D100" r:id="rId15" display="http://www.dimosprofile.gr/media/dimos-aigialias/"/>
    <hyperlink ref="D113" r:id="rId16" display="http://www.dimosprofile.gr/media/dimos-nafpaktias/"/>
    <hyperlink ref="D91" r:id="rId17" tooltip="Δήμος Ικαρίας" display="http://www.dimosprofile.gr/media/dimos-ikarias/"/>
    <hyperlink ref="D81" r:id="rId18" display="http://www.dimosprofile.gr/media/dimos-spetson/"/>
    <hyperlink ref="D21" r:id="rId19" tooltip="Δήμος Σαμοθράκης" display="http://www.dimosprofile.gr/media/dimos-samothrakis/"/>
  </hyperlinks>
  <pageMargins left="0.7" right="0.7" top="0.75" bottom="0.75" header="0.3" footer="0.3"/>
  <pageSetup paperSize="9" orientation="portrait" r:id="rId2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5"/>
  <sheetViews>
    <sheetView workbookViewId="0">
      <selection activeCell="B4" sqref="B4"/>
    </sheetView>
  </sheetViews>
  <sheetFormatPr defaultColWidth="0" defaultRowHeight="15" zeroHeight="1" x14ac:dyDescent="0.25"/>
  <cols>
    <col min="1" max="2" width="59.7109375" customWidth="1"/>
    <col min="3" max="3" width="21.140625" hidden="1" customWidth="1"/>
    <col min="4" max="4" width="16.140625" style="208" hidden="1" customWidth="1"/>
    <col min="5" max="5" width="24.140625" style="208" hidden="1" customWidth="1"/>
    <col min="6" max="6" width="21.140625" style="208" hidden="1" customWidth="1"/>
    <col min="7" max="7" width="18.7109375" style="208" hidden="1" customWidth="1"/>
    <col min="8" max="8" width="20.85546875" hidden="1" customWidth="1"/>
    <col min="9" max="9" width="16.140625" hidden="1" customWidth="1"/>
    <col min="10" max="10" width="18" hidden="1" customWidth="1"/>
    <col min="11" max="11" width="17.28515625" hidden="1" customWidth="1"/>
    <col min="12" max="12" width="20.5703125" hidden="1" customWidth="1"/>
    <col min="13" max="16384" width="9.140625" hidden="1"/>
  </cols>
  <sheetData>
    <row r="1" spans="1:12" ht="60.75" thickBot="1" x14ac:dyDescent="0.3">
      <c r="A1" s="199" t="s">
        <v>921</v>
      </c>
      <c r="B1" s="199" t="s">
        <v>922</v>
      </c>
      <c r="C1" s="208" t="s">
        <v>902</v>
      </c>
      <c r="D1" s="209" t="s">
        <v>904</v>
      </c>
      <c r="E1" s="209" t="s">
        <v>905</v>
      </c>
      <c r="F1" s="208" t="s">
        <v>906</v>
      </c>
      <c r="G1" s="208" t="s">
        <v>907</v>
      </c>
      <c r="H1" s="210" t="s">
        <v>903</v>
      </c>
      <c r="I1" s="211" t="s">
        <v>908</v>
      </c>
      <c r="J1" s="211" t="s">
        <v>909</v>
      </c>
      <c r="K1" s="211" t="s">
        <v>910</v>
      </c>
      <c r="L1" s="211" t="s">
        <v>911</v>
      </c>
    </row>
    <row r="2" spans="1:12" ht="15.75" thickTop="1" x14ac:dyDescent="0.25">
      <c r="A2" s="200" t="s">
        <v>953</v>
      </c>
      <c r="B2" s="200" t="s">
        <v>953</v>
      </c>
      <c r="C2" s="208" t="str">
        <f>IF(A2="","",A2&amp;",")</f>
        <v>ΑΤΤΙΚΗΣ - ΣΑΛΑΜΙΝΟΣ,</v>
      </c>
      <c r="D2" s="208">
        <f t="shared" ref="D2:D15" si="0">_xlfn.IFNA(INDEX(OrchardIDnai,MATCH(A2,DimosNameNai,0)),"")</f>
        <v>14446</v>
      </c>
      <c r="E2" s="208" t="str">
        <f t="shared" ref="E2:E15" si="1">_xlfn.IFNA(INDEX(OrchardNameNai,MATCH(A2,DimosNameNai,0)),"")</f>
        <v>Σαλαμίνας</v>
      </c>
      <c r="F2" s="208" t="str">
        <f>IF(D2="","",D2&amp;",")</f>
        <v>14446,</v>
      </c>
      <c r="G2" s="208" t="str">
        <f>IF(E2="","",E2&amp;",")</f>
        <v>Σαλαμίνας,</v>
      </c>
      <c r="H2" s="210" t="str">
        <f>IF(B2="","",B2&amp;",")</f>
        <v>ΑΤΤΙΚΗΣ - ΣΑΛΑΜΙΝΟΣ,</v>
      </c>
      <c r="I2" s="210">
        <f t="shared" ref="I2:I15" si="2">_xlfn.IFNA(INDEX(OrchardIDnai,MATCH(B2,DimosNameNai,0)),"")</f>
        <v>14446</v>
      </c>
      <c r="J2" s="210" t="str">
        <f t="shared" ref="J2:J15" si="3">_xlfn.IFNA(INDEX(OrchardNameNai,MATCH(B2,DimosNameNai,0)),"")</f>
        <v>Σαλαμίνας</v>
      </c>
      <c r="K2" s="210" t="str">
        <f>IF(I2="","",I2&amp;",")</f>
        <v>14446,</v>
      </c>
      <c r="L2" s="210" t="str">
        <f>IF(J2="","",J2&amp;",")</f>
        <v>Σαλαμίνας,</v>
      </c>
    </row>
    <row r="3" spans="1:12" x14ac:dyDescent="0.25">
      <c r="A3" s="201" t="s">
        <v>942</v>
      </c>
      <c r="B3" s="201" t="s">
        <v>942</v>
      </c>
      <c r="C3" s="208" t="str">
        <f t="shared" ref="C3:C12" si="4">IF(A3="",C2,C2&amp;A3&amp;",")</f>
        <v>ΑΤΤΙΚΗΣ - ΣΑΛΑΜΙΝΟΣ,ΚΕΝΤΡΙΚΗΣ ΜΑΚΕΔΟΝΙΑΣ - ΠΕΛΛΑΣ,</v>
      </c>
      <c r="D3" s="208">
        <f t="shared" si="0"/>
        <v>14370</v>
      </c>
      <c r="E3" s="208" t="str">
        <f t="shared" si="1"/>
        <v>Πέλλας</v>
      </c>
      <c r="F3" s="208" t="str">
        <f t="shared" ref="F3:G12" si="5">IF(D3="",F2,F2&amp;D3&amp;",")</f>
        <v>14446,14370,</v>
      </c>
      <c r="G3" s="208" t="str">
        <f t="shared" si="5"/>
        <v>Σαλαμίνας,Πέλλας,</v>
      </c>
      <c r="H3" s="210" t="str">
        <f t="shared" ref="H3:H12" si="6">IF(B3="",H2,H2&amp;B3&amp;",")</f>
        <v>ΑΤΤΙΚΗΣ - ΣΑΛΑΜΙΝΟΣ,ΚΕΝΤΡΙΚΗΣ ΜΑΚΕΔΟΝΙΑΣ - ΠΕΛΛΑΣ,</v>
      </c>
      <c r="I3" s="210">
        <f t="shared" si="2"/>
        <v>14370</v>
      </c>
      <c r="J3" s="210" t="str">
        <f t="shared" si="3"/>
        <v>Πέλλας</v>
      </c>
      <c r="K3" s="210" t="str">
        <f t="shared" ref="K3:K12" si="7">IF(I3="",K2,K2&amp;I3&amp;",")</f>
        <v>14446,14370,</v>
      </c>
      <c r="L3" s="210" t="str">
        <f t="shared" ref="L3:L12" si="8">IF(J3="",L2,L2&amp;J3&amp;",")</f>
        <v>Σαλαμίνας,Πέλλας,</v>
      </c>
    </row>
    <row r="4" spans="1:12" x14ac:dyDescent="0.25">
      <c r="A4" s="201" t="s">
        <v>943</v>
      </c>
      <c r="B4" s="201" t="s">
        <v>943</v>
      </c>
      <c r="C4" s="208" t="str">
        <f t="shared" si="4"/>
        <v>ΑΤΤΙΚΗΣ - ΣΑΛΑΜΙΝΟΣ,ΚΕΝΤΡΙΚΗΣ ΜΑΚΕΔΟΝΙΑΣ - ΠΕΛΛΑΣ,ΚΕΝΤΡΙΚΗΣ ΜΑΚΕΔΟΝΙΑΣ - ΠΥΛΑΙΑΣ – ΧΟΡΤΙΑΤΗ,</v>
      </c>
      <c r="D4" s="208">
        <f t="shared" si="0"/>
        <v>14426</v>
      </c>
      <c r="E4" s="208" t="str">
        <f t="shared" si="1"/>
        <v>Πυλαίας - Χορτιάτη</v>
      </c>
      <c r="F4" s="208" t="str">
        <f t="shared" si="5"/>
        <v>14446,14370,14426,</v>
      </c>
      <c r="G4" s="208" t="str">
        <f t="shared" si="5"/>
        <v>Σαλαμίνας,Πέλλας,Πυλαίας - Χορτιάτη,</v>
      </c>
      <c r="H4" s="210" t="str">
        <f t="shared" si="6"/>
        <v>ΑΤΤΙΚΗΣ - ΣΑΛΑΜΙΝΟΣ,ΚΕΝΤΡΙΚΗΣ ΜΑΚΕΔΟΝΙΑΣ - ΠΕΛΛΑΣ,ΚΕΝΤΡΙΚΗΣ ΜΑΚΕΔΟΝΙΑΣ - ΠΥΛΑΙΑΣ – ΧΟΡΤΙΑΤΗ,</v>
      </c>
      <c r="I4" s="210">
        <f t="shared" si="2"/>
        <v>14426</v>
      </c>
      <c r="J4" s="210" t="str">
        <f t="shared" si="3"/>
        <v>Πυλαίας - Χορτιάτη</v>
      </c>
      <c r="K4" s="210" t="str">
        <f t="shared" si="7"/>
        <v>14446,14370,14426,</v>
      </c>
      <c r="L4" s="210" t="str">
        <f t="shared" si="8"/>
        <v>Σαλαμίνας,Πέλλας,Πυλαίας - Χορτιάτη,</v>
      </c>
    </row>
    <row r="5" spans="1:12" x14ac:dyDescent="0.25">
      <c r="A5" s="201" t="s">
        <v>933</v>
      </c>
      <c r="B5" s="201" t="s">
        <v>933</v>
      </c>
      <c r="C5" s="208" t="str">
        <f t="shared" si="4"/>
        <v>ΑΤΤΙΚΗΣ - ΣΑΛΑΜΙΝΟΣ,ΚΕΝΤΡΙΚΗΣ ΜΑΚΕΔΟΝΙΑΣ - ΠΕΛΛΑΣ,ΚΕΝΤΡΙΚΗΣ ΜΑΚΕΔΟΝΙΑΣ - ΠΥΛΑΙΑΣ – ΧΟΡΤΙΑΤΗ,ΚΡΗΤΗΣ - ΗΡΑΚΛΕΙΟΥ,</v>
      </c>
      <c r="D5" s="208">
        <f t="shared" si="0"/>
        <v>14126</v>
      </c>
      <c r="E5" s="208" t="str">
        <f t="shared" si="1"/>
        <v>Ηρακλείου</v>
      </c>
      <c r="F5" s="208" t="str">
        <f t="shared" si="5"/>
        <v>14446,14370,14426,14126,</v>
      </c>
      <c r="G5" s="208" t="str">
        <f t="shared" si="5"/>
        <v>Σαλαμίνας,Πέλλας,Πυλαίας - Χορτιάτη,Ηρακλείου,</v>
      </c>
      <c r="H5" s="210" t="str">
        <f t="shared" si="6"/>
        <v>ΑΤΤΙΚΗΣ - ΣΑΛΑΜΙΝΟΣ,ΚΕΝΤΡΙΚΗΣ ΜΑΚΕΔΟΝΙΑΣ - ΠΕΛΛΑΣ,ΚΕΝΤΡΙΚΗΣ ΜΑΚΕΔΟΝΙΑΣ - ΠΥΛΑΙΑΣ – ΧΟΡΤΙΑΤΗ,ΚΡΗΤΗΣ - ΗΡΑΚΛΕΙΟΥ,</v>
      </c>
      <c r="I5" s="210">
        <f t="shared" si="2"/>
        <v>14126</v>
      </c>
      <c r="J5" s="210" t="str">
        <f t="shared" si="3"/>
        <v>Ηρακλείου</v>
      </c>
      <c r="K5" s="210" t="str">
        <f t="shared" si="7"/>
        <v>14446,14370,14426,14126,</v>
      </c>
      <c r="L5" s="210" t="str">
        <f t="shared" si="8"/>
        <v>Σαλαμίνας,Πέλλας,Πυλαίας - Χορτιάτη,Ηρακλείου,</v>
      </c>
    </row>
    <row r="6" spans="1:12" x14ac:dyDescent="0.25">
      <c r="A6" s="201" t="s">
        <v>952</v>
      </c>
      <c r="B6" s="201" t="s">
        <v>952</v>
      </c>
      <c r="C6" s="208" t="str">
        <f t="shared" si="4"/>
        <v>ΑΤΤΙΚΗΣ - ΣΑΛΑΜΙΝΟΣ,ΚΕΝΤΡΙΚΗΣ ΜΑΚΕΔΟΝΙΑΣ - ΠΕΛΛΑΣ,ΚΕΝΤΡΙΚΗΣ ΜΑΚΕΔΟΝΙΑΣ - ΠΥΛΑΙΑΣ – ΧΟΡΤΙΑΤΗ,ΚΡΗΤΗΣ - ΗΡΑΚΛΕΙΟΥ,ΔΥΤΙΚΗΣ ΜΑΚΕΔΟΝΙΑΣ - ΟΡΕΣΤΙΔΟΣ,</v>
      </c>
      <c r="D6" s="208">
        <f t="shared" si="0"/>
        <v>14356</v>
      </c>
      <c r="E6" s="208" t="str">
        <f t="shared" si="1"/>
        <v>Ορεστίδος</v>
      </c>
      <c r="F6" s="208" t="str">
        <f t="shared" si="5"/>
        <v>14446,14370,14426,14126,14356,</v>
      </c>
      <c r="G6" s="208" t="str">
        <f t="shared" si="5"/>
        <v>Σαλαμίνας,Πέλλας,Πυλαίας - Χορτιάτη,Ηρακλείου,Ορεστίδος,</v>
      </c>
      <c r="H6" s="210" t="str">
        <f t="shared" si="6"/>
        <v>ΑΤΤΙΚΗΣ - ΣΑΛΑΜΙΝΟΣ,ΚΕΝΤΡΙΚΗΣ ΜΑΚΕΔΟΝΙΑΣ - ΠΕΛΛΑΣ,ΚΕΝΤΡΙΚΗΣ ΜΑΚΕΔΟΝΙΑΣ - ΠΥΛΑΙΑΣ – ΧΟΡΤΙΑΤΗ,ΚΡΗΤΗΣ - ΗΡΑΚΛΕΙΟΥ,ΔΥΤΙΚΗΣ ΜΑΚΕΔΟΝΙΑΣ - ΟΡΕΣΤΙΔΟΣ,</v>
      </c>
      <c r="I6" s="210">
        <f t="shared" si="2"/>
        <v>14356</v>
      </c>
      <c r="J6" s="210" t="str">
        <f t="shared" si="3"/>
        <v>Ορεστίδος</v>
      </c>
      <c r="K6" s="210" t="str">
        <f t="shared" si="7"/>
        <v>14446,14370,14426,14126,14356,</v>
      </c>
      <c r="L6" s="210" t="str">
        <f t="shared" si="8"/>
        <v>Σαλαμίνας,Πέλλας,Πυλαίας - Χορτιάτη,Ηρακλείου,Ορεστίδος,</v>
      </c>
    </row>
    <row r="7" spans="1:12" x14ac:dyDescent="0.25">
      <c r="A7" s="201" t="s">
        <v>934</v>
      </c>
      <c r="B7" s="201" t="s">
        <v>934</v>
      </c>
      <c r="C7" s="208" t="str">
        <f t="shared" si="4"/>
        <v>ΑΤΤΙΚΗΣ - ΣΑΛΑΜΙΝΟΣ,ΚΕΝΤΡΙΚΗΣ ΜΑΚΕΔΟΝΙΑΣ - ΠΕΛΛΑΣ,ΚΕΝΤΡΙΚΗΣ ΜΑΚΕΔΟΝΙΑΣ - ΠΥΛΑΙΑΣ – ΧΟΡΤΙΑΤΗ,ΚΡΗΤΗΣ - ΗΡΑΚΛΕΙΟΥ,ΔΥΤΙΚΗΣ ΜΑΚΕΔΟΝΙΑΣ - ΟΡΕΣΤΙΔΟΣ,ΘΕΣΣΑΛΙΑΣ - ΛΑΡΙΣΑΙΩΝ,</v>
      </c>
      <c r="D7" s="208">
        <f t="shared" si="0"/>
        <v>14250</v>
      </c>
      <c r="E7" s="208" t="str">
        <f t="shared" si="1"/>
        <v>Λαρισαίων</v>
      </c>
      <c r="F7" s="208" t="str">
        <f t="shared" si="5"/>
        <v>14446,14370,14426,14126,14356,14250,</v>
      </c>
      <c r="G7" s="208" t="str">
        <f t="shared" si="5"/>
        <v>Σαλαμίνας,Πέλλας,Πυλαίας - Χορτιάτη,Ηρακλείου,Ορεστίδος,Λαρισαίων,</v>
      </c>
      <c r="H7" s="210" t="str">
        <f t="shared" si="6"/>
        <v>ΑΤΤΙΚΗΣ - ΣΑΛΑΜΙΝΟΣ,ΚΕΝΤΡΙΚΗΣ ΜΑΚΕΔΟΝΙΑΣ - ΠΕΛΛΑΣ,ΚΕΝΤΡΙΚΗΣ ΜΑΚΕΔΟΝΙΑΣ - ΠΥΛΑΙΑΣ – ΧΟΡΤΙΑΤΗ,ΚΡΗΤΗΣ - ΗΡΑΚΛΕΙΟΥ,ΔΥΤΙΚΗΣ ΜΑΚΕΔΟΝΙΑΣ - ΟΡΕΣΤΙΔΟΣ,ΘΕΣΣΑΛΙΑΣ - ΛΑΡΙΣΑΙΩΝ,</v>
      </c>
      <c r="I7" s="210">
        <f t="shared" si="2"/>
        <v>14250</v>
      </c>
      <c r="J7" s="210" t="str">
        <f t="shared" si="3"/>
        <v>Λαρισαίων</v>
      </c>
      <c r="K7" s="210" t="str">
        <f t="shared" si="7"/>
        <v>14446,14370,14426,14126,14356,14250,</v>
      </c>
      <c r="L7" s="210" t="str">
        <f t="shared" si="8"/>
        <v>Σαλαμίνας,Πέλλας,Πυλαίας - Χορτιάτη,Ηρακλείου,Ορεστίδος,Λαρισαίων,</v>
      </c>
    </row>
    <row r="8" spans="1:12" x14ac:dyDescent="0.25">
      <c r="A8" s="201" t="s">
        <v>935</v>
      </c>
      <c r="B8" s="201" t="s">
        <v>935</v>
      </c>
      <c r="C8" s="208" t="str">
        <f t="shared" si="4"/>
        <v>ΑΤΤΙΚΗΣ - ΣΑΛΑΜΙΝΟΣ,ΚΕΝΤΡΙΚΗΣ ΜΑΚΕΔΟΝΙΑΣ - ΠΕΛΛΑΣ,ΚΕΝΤΡΙΚΗΣ ΜΑΚΕΔΟΝΙΑΣ - ΠΥΛΑΙΑΣ – ΧΟΡΤΙΑΤΗ,ΚΡΗΤΗΣ - ΗΡΑΚΛΕΙΟΥ,ΔΥΤΙΚΗΣ ΜΑΚΕΔΟΝΙΑΣ - ΟΡΕΣΤΙΔΟΣ,ΘΕΣΣΑΛΙΑΣ - ΛΑΡΙΣΑΙΩΝ,ΗΠΕΙΡΟΥ - ΙΩΑΝΝΙΤΩΝ,</v>
      </c>
      <c r="D8" s="208">
        <f t="shared" si="0"/>
        <v>14158</v>
      </c>
      <c r="E8" s="208" t="str">
        <f t="shared" si="1"/>
        <v>Ιωαννιτών</v>
      </c>
      <c r="F8" s="208" t="str">
        <f t="shared" si="5"/>
        <v>14446,14370,14426,14126,14356,14250,14158,</v>
      </c>
      <c r="G8" s="208" t="str">
        <f t="shared" si="5"/>
        <v>Σαλαμίνας,Πέλλας,Πυλαίας - Χορτιάτη,Ηρακλείου,Ορεστίδος,Λαρισαίων,Ιωαννιτών,</v>
      </c>
      <c r="H8" s="210" t="str">
        <f t="shared" si="6"/>
        <v>ΑΤΤΙΚΗΣ - ΣΑΛΑΜΙΝΟΣ,ΚΕΝΤΡΙΚΗΣ ΜΑΚΕΔΟΝΙΑΣ - ΠΕΛΛΑΣ,ΚΕΝΤΡΙΚΗΣ ΜΑΚΕΔΟΝΙΑΣ - ΠΥΛΑΙΑΣ – ΧΟΡΤΙΑΤΗ,ΚΡΗΤΗΣ - ΗΡΑΚΛΕΙΟΥ,ΔΥΤΙΚΗΣ ΜΑΚΕΔΟΝΙΑΣ - ΟΡΕΣΤΙΔΟΣ,ΘΕΣΣΑΛΙΑΣ - ΛΑΡΙΣΑΙΩΝ,ΗΠΕΙΡΟΥ - ΙΩΑΝΝΙΤΩΝ,</v>
      </c>
      <c r="I8" s="210">
        <f t="shared" si="2"/>
        <v>14158</v>
      </c>
      <c r="J8" s="210" t="str">
        <f t="shared" si="3"/>
        <v>Ιωαννιτών</v>
      </c>
      <c r="K8" s="210" t="str">
        <f t="shared" si="7"/>
        <v>14446,14370,14426,14126,14356,14250,14158,</v>
      </c>
      <c r="L8" s="210" t="str">
        <f t="shared" si="8"/>
        <v>Σαλαμίνας,Πέλλας,Πυλαίας - Χορτιάτη,Ηρακλείου,Ορεστίδος,Λαρισαίων,Ιωαννιτών,</v>
      </c>
    </row>
    <row r="9" spans="1:12" x14ac:dyDescent="0.25">
      <c r="A9" s="201" t="s">
        <v>936</v>
      </c>
      <c r="B9" s="201" t="s">
        <v>936</v>
      </c>
      <c r="C9" s="208" t="str">
        <f t="shared" si="4"/>
        <v>ΑΤΤΙΚΗΣ - ΣΑΛΑΜΙΝΟΣ,ΚΕΝΤΡΙΚΗΣ ΜΑΚΕΔΟΝΙΑΣ - ΠΕΛΛΑΣ,ΚΕΝΤΡΙΚΗΣ ΜΑΚΕΔΟΝΙΑΣ - ΠΥΛΑΙΑΣ – ΧΟΡΤΙΑΤΗ,ΚΡΗΤΗΣ - ΗΡΑΚΛΕΙΟΥ,ΔΥΤΙΚΗΣ ΜΑΚΕΔΟΝΙΑΣ - ΟΡΕΣΤΙΔΟΣ,ΘΕΣΣΑΛΙΑΣ - ΛΑΡΙΣΑΙΩΝ,ΗΠΕΙΡΟΥ - ΙΩΑΝΝΙΤΩΝ,ΑΝΑΤΟΛΙΚΗΣ ΜΑΚΕΔΟΝΙΑΣ ΚΑΙ ΘΡΑΚΗΣ - ΚΑΒΑΛΑΣ,</v>
      </c>
      <c r="D9" s="208">
        <f t="shared" si="0"/>
        <v>14174</v>
      </c>
      <c r="E9" s="208" t="str">
        <f t="shared" si="1"/>
        <v>Καβάλας</v>
      </c>
      <c r="F9" s="208" t="str">
        <f t="shared" si="5"/>
        <v>14446,14370,14426,14126,14356,14250,14158,14174,</v>
      </c>
      <c r="G9" s="208" t="str">
        <f t="shared" si="5"/>
        <v>Σαλαμίνας,Πέλλας,Πυλαίας - Χορτιάτη,Ηρακλείου,Ορεστίδος,Λαρισαίων,Ιωαννιτών,Καβάλας,</v>
      </c>
      <c r="H9" s="210" t="str">
        <f t="shared" si="6"/>
        <v>ΑΤΤΙΚΗΣ - ΣΑΛΑΜΙΝΟΣ,ΚΕΝΤΡΙΚΗΣ ΜΑΚΕΔΟΝΙΑΣ - ΠΕΛΛΑΣ,ΚΕΝΤΡΙΚΗΣ ΜΑΚΕΔΟΝΙΑΣ - ΠΥΛΑΙΑΣ – ΧΟΡΤΙΑΤΗ,ΚΡΗΤΗΣ - ΗΡΑΚΛΕΙΟΥ,ΔΥΤΙΚΗΣ ΜΑΚΕΔΟΝΙΑΣ - ΟΡΕΣΤΙΔΟΣ,ΘΕΣΣΑΛΙΑΣ - ΛΑΡΙΣΑΙΩΝ,ΗΠΕΙΡΟΥ - ΙΩΑΝΝΙΤΩΝ,ΑΝΑΤΟΛΙΚΗΣ ΜΑΚΕΔΟΝΙΑΣ ΚΑΙ ΘΡΑΚΗΣ - ΚΑΒΑΛΑΣ,</v>
      </c>
      <c r="I9" s="210">
        <f t="shared" si="2"/>
        <v>14174</v>
      </c>
      <c r="J9" s="210" t="str">
        <f t="shared" si="3"/>
        <v>Καβάλας</v>
      </c>
      <c r="K9" s="210" t="str">
        <f t="shared" si="7"/>
        <v>14446,14370,14426,14126,14356,14250,14158,14174,</v>
      </c>
      <c r="L9" s="210" t="str">
        <f t="shared" si="8"/>
        <v>Σαλαμίνας,Πέλλας,Πυλαίας - Χορτιάτη,Ηρακλείου,Ορεστίδος,Λαρισαίων,Ιωαννιτών,Καβάλας,</v>
      </c>
    </row>
    <row r="10" spans="1:12" x14ac:dyDescent="0.25">
      <c r="A10" s="201" t="s">
        <v>937</v>
      </c>
      <c r="B10" s="201" t="s">
        <v>937</v>
      </c>
      <c r="C10" s="208" t="str">
        <f t="shared" si="4"/>
        <v>ΑΤΤΙΚΗΣ - ΣΑΛΑΜΙΝΟΣ,ΚΕΝΤΡΙΚΗΣ ΜΑΚΕΔΟΝΙΑΣ - ΠΕΛΛΑΣ,ΚΕΝΤΡΙΚΗΣ ΜΑΚΕΔΟΝΙΑΣ - ΠΥΛΑΙΑΣ – ΧΟΡΤΙΑΤΗ,ΚΡΗΤΗΣ - ΗΡΑΚΛΕΙΟΥ,ΔΥΤΙΚΗΣ ΜΑΚΕΔΟΝΙΑΣ - ΟΡΕΣΤΙΔΟΣ,ΘΕΣΣΑΛΙΑΣ - ΛΑΡΙΣΑΙΩΝ,ΗΠΕΙΡΟΥ - ΙΩΑΝΝΙΤΩΝ,ΑΝΑΤΟΛΙΚΗΣ ΜΑΚΕΔΟΝΙΑΣ ΚΑΙ ΘΡΑΚΗΣ - ΚΑΒΑΛΑΣ,ΔΥΤΙΚΗΣ ΕΛΛΑΔΑΣ - ΠΑΤΡΕΩΝ,</v>
      </c>
      <c r="D10" s="208">
        <f t="shared" si="0"/>
        <v>14402</v>
      </c>
      <c r="E10" s="208" t="str">
        <f t="shared" si="1"/>
        <v>Πατρέων</v>
      </c>
      <c r="F10" s="208" t="str">
        <f t="shared" si="5"/>
        <v>14446,14370,14426,14126,14356,14250,14158,14174,14402,</v>
      </c>
      <c r="G10" s="208" t="str">
        <f t="shared" si="5"/>
        <v>Σαλαμίνας,Πέλλας,Πυλαίας - Χορτιάτη,Ηρακλείου,Ορεστίδος,Λαρισαίων,Ιωαννιτών,Καβάλας,Πατρέων,</v>
      </c>
      <c r="H10" s="210" t="str">
        <f t="shared" si="6"/>
        <v>ΑΤΤΙΚΗΣ - ΣΑΛΑΜΙΝΟΣ,ΚΕΝΤΡΙΚΗΣ ΜΑΚΕΔΟΝΙΑΣ - ΠΕΛΛΑΣ,ΚΕΝΤΡΙΚΗΣ ΜΑΚΕΔΟΝΙΑΣ - ΠΥΛΑΙΑΣ – ΧΟΡΤΙΑΤΗ,ΚΡΗΤΗΣ - ΗΡΑΚΛΕΙΟΥ,ΔΥΤΙΚΗΣ ΜΑΚΕΔΟΝΙΑΣ - ΟΡΕΣΤΙΔΟΣ,ΘΕΣΣΑΛΙΑΣ - ΛΑΡΙΣΑΙΩΝ,ΗΠΕΙΡΟΥ - ΙΩΑΝΝΙΤΩΝ,ΑΝΑΤΟΛΙΚΗΣ ΜΑΚΕΔΟΝΙΑΣ ΚΑΙ ΘΡΑΚΗΣ - ΚΑΒΑΛΑΣ,ΔΥΤΙΚΗΣ ΕΛΛΑΔΑΣ - ΠΑΤΡΕΩΝ,</v>
      </c>
      <c r="I10" s="210">
        <f t="shared" si="2"/>
        <v>14402</v>
      </c>
      <c r="J10" s="210" t="str">
        <f t="shared" si="3"/>
        <v>Πατρέων</v>
      </c>
      <c r="K10" s="210" t="str">
        <f t="shared" si="7"/>
        <v>14446,14370,14426,14126,14356,14250,14158,14174,14402,</v>
      </c>
      <c r="L10" s="210" t="str">
        <f t="shared" si="8"/>
        <v>Σαλαμίνας,Πέλλας,Πυλαίας - Χορτιάτη,Ηρακλείου,Ορεστίδος,Λαρισαίων,Ιωαννιτών,Καβάλας,Πατρέων,</v>
      </c>
    </row>
    <row r="11" spans="1:12" x14ac:dyDescent="0.25">
      <c r="A11" s="201" t="s">
        <v>938</v>
      </c>
      <c r="B11" s="201" t="s">
        <v>940</v>
      </c>
      <c r="C11" s="208" t="str">
        <f t="shared" si="4"/>
        <v>ΑΤΤΙΚΗΣ - ΣΑΛΑΜΙΝΟΣ,ΚΕΝΤΡΙΚΗΣ ΜΑΚΕΔΟΝΙΑΣ - ΠΕΛΛΑΣ,ΚΕΝΤΡΙΚΗΣ ΜΑΚΕΔΟΝΙΑΣ - ΠΥΛΑΙΑΣ – ΧΟΡΤΙΑΤΗ,ΚΡΗΤΗΣ - ΗΡΑΚΛΕΙΟΥ,ΔΥΤΙΚΗΣ ΜΑΚΕΔΟΝΙΑΣ - ΟΡΕΣΤΙΔΟΣ,ΘΕΣΣΑΛΙΑΣ - ΛΑΡΙΣΑΙΩΝ,ΗΠΕΙΡΟΥ - ΙΩΑΝΝΙΤΩΝ,ΑΝΑΤΟΛΙΚΗΣ ΜΑΚΕΔΟΝΙΑΣ ΚΑΙ ΘΡΑΚΗΣ - ΚΑΒΑΛΑΣ,ΔΥΤΙΚΗΣ ΕΛΛΑΔΑΣ - ΠΑΤΡΕΩΝ,ΣΤΕΡΕΑΣ ΕΛΛΑΔΑΣ - ΛΑΜΙΕΩΝ,</v>
      </c>
      <c r="D11" s="208">
        <f t="shared" si="0"/>
        <v>14248</v>
      </c>
      <c r="E11" s="208" t="str">
        <f t="shared" si="1"/>
        <v>Λαμιέων</v>
      </c>
      <c r="F11" s="208" t="str">
        <f t="shared" si="5"/>
        <v>14446,14370,14426,14126,14356,14250,14158,14174,14402,14248,</v>
      </c>
      <c r="G11" s="208" t="str">
        <f t="shared" si="5"/>
        <v>Σαλαμίνας,Πέλλας,Πυλαίας - Χορτιάτη,Ηρακλείου,Ορεστίδος,Λαρισαίων,Ιωαννιτών,Καβάλας,Πατρέων,Λαμιέων,</v>
      </c>
      <c r="H11" s="210" t="str">
        <f t="shared" si="6"/>
        <v>ΑΤΤΙΚΗΣ - ΣΑΛΑΜΙΝΟΣ,ΚΕΝΤΡΙΚΗΣ ΜΑΚΕΔΟΝΙΑΣ - ΠΕΛΛΑΣ,ΚΕΝΤΡΙΚΗΣ ΜΑΚΕΔΟΝΙΑΣ - ΠΥΛΑΙΑΣ – ΧΟΡΤΙΑΤΗ,ΚΡΗΤΗΣ - ΗΡΑΚΛΕΙΟΥ,ΔΥΤΙΚΗΣ ΜΑΚΕΔΟΝΙΑΣ - ΟΡΕΣΤΙΔΟΣ,ΘΕΣΣΑΛΙΑΣ - ΛΑΡΙΣΑΙΩΝ,ΗΠΕΙΡΟΥ - ΙΩΑΝΝΙΤΩΝ,ΑΝΑΤΟΛΙΚΗΣ ΜΑΚΕΔΟΝΙΑΣ ΚΑΙ ΘΡΑΚΗΣ - ΚΑΒΑΛΑΣ,ΔΥΤΙΚΗΣ ΕΛΛΑΔΑΣ - ΠΑΤΡΕΩΝ,ΣΤΕΡΕΑΣ ΕΛΛΑΔΑΣ - ΧΑΛΚΙΔΕΩΝ,</v>
      </c>
      <c r="I11" s="210">
        <f t="shared" si="2"/>
        <v>14540</v>
      </c>
      <c r="J11" s="210" t="str">
        <f t="shared" si="3"/>
        <v>Χαλκιδέων</v>
      </c>
      <c r="K11" s="210" t="str">
        <f t="shared" si="7"/>
        <v>14446,14370,14426,14126,14356,14250,14158,14174,14402,14540,</v>
      </c>
      <c r="L11" s="210" t="str">
        <f t="shared" si="8"/>
        <v>Σαλαμίνας,Πέλλας,Πυλαίας - Χορτιάτη,Ηρακλείου,Ορεστίδος,Λαρισαίων,Ιωαννιτών,Καβάλας,Πατρέων,Χαλκιδέων,</v>
      </c>
    </row>
    <row r="12" spans="1:12" x14ac:dyDescent="0.25">
      <c r="A12" s="201" t="s">
        <v>939</v>
      </c>
      <c r="B12" s="201" t="s">
        <v>939</v>
      </c>
      <c r="C12" s="208" t="str">
        <f t="shared" si="4"/>
        <v>ΑΤΤΙΚΗΣ - ΣΑΛΑΜΙΝΟΣ,ΚΕΝΤΡΙΚΗΣ ΜΑΚΕΔΟΝΙΑΣ - ΠΕΛΛΑΣ,ΚΕΝΤΡΙΚΗΣ ΜΑΚΕΔΟΝΙΑΣ - ΠΥΛΑΙΑΣ – ΧΟΡΤΙΑΤΗ,ΚΡΗΤΗΣ - ΗΡΑΚΛΕΙΟΥ,ΔΥΤΙΚΗΣ ΜΑΚΕΔΟΝΙΑΣ - ΟΡΕΣΤΙΔΟΣ,ΘΕΣΣΑΛΙΑΣ - ΛΑΡΙΣΑΙΩΝ,ΗΠΕΙΡΟΥ - ΙΩΑΝΝΙΤΩΝ,ΑΝΑΤΟΛΙΚΗΣ ΜΑΚΕΔΟΝΙΑΣ ΚΑΙ ΘΡΑΚΗΣ - ΚΑΒΑΛΑΣ,ΔΥΤΙΚΗΣ ΕΛΛΑΔΑΣ - ΠΑΤΡΕΩΝ,ΣΤΕΡΕΑΣ ΕΛΛΑΔΑΣ - ΛΑΜΙΕΩΝ,ΠΕΛΟΠΟΝΝΗΣΟΥ - ΚΟΡΙΝΘΙΩΝ,</v>
      </c>
      <c r="D12" s="208">
        <f t="shared" si="0"/>
        <v>14228</v>
      </c>
      <c r="E12" s="208" t="str">
        <f t="shared" si="1"/>
        <v>Κορινθίων</v>
      </c>
      <c r="F12" s="208" t="str">
        <f t="shared" si="5"/>
        <v>14446,14370,14426,14126,14356,14250,14158,14174,14402,14248,14228,</v>
      </c>
      <c r="G12" s="208" t="str">
        <f t="shared" si="5"/>
        <v>Σαλαμίνας,Πέλλας,Πυλαίας - Χορτιάτη,Ηρακλείου,Ορεστίδος,Λαρισαίων,Ιωαννιτών,Καβάλας,Πατρέων,Λαμιέων,Κορινθίων,</v>
      </c>
      <c r="H12" s="210" t="str">
        <f t="shared" si="6"/>
        <v>ΑΤΤΙΚΗΣ - ΣΑΛΑΜΙΝΟΣ,ΚΕΝΤΡΙΚΗΣ ΜΑΚΕΔΟΝΙΑΣ - ΠΕΛΛΑΣ,ΚΕΝΤΡΙΚΗΣ ΜΑΚΕΔΟΝΙΑΣ - ΠΥΛΑΙΑΣ – ΧΟΡΤΙΑΤΗ,ΚΡΗΤΗΣ - ΗΡΑΚΛΕΙΟΥ,ΔΥΤΙΚΗΣ ΜΑΚΕΔΟΝΙΑΣ - ΟΡΕΣΤΙΔΟΣ,ΘΕΣΣΑΛΙΑΣ - ΛΑΡΙΣΑΙΩΝ,ΗΠΕΙΡΟΥ - ΙΩΑΝΝΙΤΩΝ,ΑΝΑΤΟΛΙΚΗΣ ΜΑΚΕΔΟΝΙΑΣ ΚΑΙ ΘΡΑΚΗΣ - ΚΑΒΑΛΑΣ,ΔΥΤΙΚΗΣ ΕΛΛΑΔΑΣ - ΠΑΤΡΕΩΝ,ΣΤΕΡΕΑΣ ΕΛΛΑΔΑΣ - ΧΑΛΚΙΔΕΩΝ,ΠΕΛΟΠΟΝΝΗΣΟΥ - ΚΟΡΙΝΘΙΩΝ,</v>
      </c>
      <c r="I12" s="210">
        <f t="shared" si="2"/>
        <v>14228</v>
      </c>
      <c r="J12" s="210" t="str">
        <f t="shared" si="3"/>
        <v>Κορινθίων</v>
      </c>
      <c r="K12" s="210" t="str">
        <f t="shared" si="7"/>
        <v>14446,14370,14426,14126,14356,14250,14158,14174,14402,14540,14228,</v>
      </c>
      <c r="L12" s="210" t="str">
        <f t="shared" si="8"/>
        <v>Σαλαμίνας,Πέλλας,Πυλαίας - Χορτιάτη,Ηρακλείου,Ορεστίδος,Λαρισαίων,Ιωαννιτών,Καβάλας,Πατρέων,Χαλκιδέων,Κορινθίων,</v>
      </c>
    </row>
    <row r="13" spans="1:12" s="231" customFormat="1" x14ac:dyDescent="0.25">
      <c r="A13" s="201"/>
      <c r="B13" s="201"/>
      <c r="C13" s="208"/>
      <c r="D13" s="208"/>
      <c r="E13" s="208"/>
      <c r="F13" s="208"/>
      <c r="G13" s="208"/>
      <c r="H13" s="210"/>
      <c r="I13" s="210"/>
      <c r="J13" s="210"/>
      <c r="K13" s="210"/>
      <c r="L13" s="210"/>
    </row>
    <row r="14" spans="1:12" x14ac:dyDescent="0.25">
      <c r="A14" s="201"/>
      <c r="B14" s="201"/>
      <c r="C14" s="208" t="str">
        <f>IF(A14="",C12,C12&amp;A14&amp;",")</f>
        <v>ΑΤΤΙΚΗΣ - ΣΑΛΑΜΙΝΟΣ,ΚΕΝΤΡΙΚΗΣ ΜΑΚΕΔΟΝΙΑΣ - ΠΕΛΛΑΣ,ΚΕΝΤΡΙΚΗΣ ΜΑΚΕΔΟΝΙΑΣ - ΠΥΛΑΙΑΣ – ΧΟΡΤΙΑΤΗ,ΚΡΗΤΗΣ - ΗΡΑΚΛΕΙΟΥ,ΔΥΤΙΚΗΣ ΜΑΚΕΔΟΝΙΑΣ - ΟΡΕΣΤΙΔΟΣ,ΘΕΣΣΑΛΙΑΣ - ΛΑΡΙΣΑΙΩΝ,ΗΠΕΙΡΟΥ - ΙΩΑΝΝΙΤΩΝ,ΑΝΑΤΟΛΙΚΗΣ ΜΑΚΕΔΟΝΙΑΣ ΚΑΙ ΘΡΑΚΗΣ - ΚΑΒΑΛΑΣ,ΔΥΤΙΚΗΣ ΕΛΛΑΔΑΣ - ΠΑΤΡΕΩΝ,ΣΤΕΡΕΑΣ ΕΛΛΑΔΑΣ - ΛΑΜΙΕΩΝ,ΠΕΛΟΠΟΝΝΗΣΟΥ - ΚΟΡΙΝΘΙΩΝ,</v>
      </c>
      <c r="D14" s="208" t="str">
        <f t="shared" si="0"/>
        <v/>
      </c>
      <c r="E14" s="208" t="str">
        <f t="shared" si="1"/>
        <v/>
      </c>
      <c r="F14" s="208" t="str">
        <f>IF(D14="",F12,F12&amp;D14&amp;",")</f>
        <v>14446,14370,14426,14126,14356,14250,14158,14174,14402,14248,14228,</v>
      </c>
      <c r="G14" s="208" t="str">
        <f>IF(E14="",G12,G12&amp;E14&amp;",")</f>
        <v>Σαλαμίνας,Πέλλας,Πυλαίας - Χορτιάτη,Ηρακλείου,Ορεστίδος,Λαρισαίων,Ιωαννιτών,Καβάλας,Πατρέων,Λαμιέων,Κορινθίων,</v>
      </c>
      <c r="H14" s="210" t="str">
        <f>IF(B14="",H12,H12&amp;B14&amp;",")</f>
        <v>ΑΤΤΙΚΗΣ - ΣΑΛΑΜΙΝΟΣ,ΚΕΝΤΡΙΚΗΣ ΜΑΚΕΔΟΝΙΑΣ - ΠΕΛΛΑΣ,ΚΕΝΤΡΙΚΗΣ ΜΑΚΕΔΟΝΙΑΣ - ΠΥΛΑΙΑΣ – ΧΟΡΤΙΑΤΗ,ΚΡΗΤΗΣ - ΗΡΑΚΛΕΙΟΥ,ΔΥΤΙΚΗΣ ΜΑΚΕΔΟΝΙΑΣ - ΟΡΕΣΤΙΔΟΣ,ΘΕΣΣΑΛΙΑΣ - ΛΑΡΙΣΑΙΩΝ,ΗΠΕΙΡΟΥ - ΙΩΑΝΝΙΤΩΝ,ΑΝΑΤΟΛΙΚΗΣ ΜΑΚΕΔΟΝΙΑΣ ΚΑΙ ΘΡΑΚΗΣ - ΚΑΒΑΛΑΣ,ΔΥΤΙΚΗΣ ΕΛΛΑΔΑΣ - ΠΑΤΡΕΩΝ,ΣΤΕΡΕΑΣ ΕΛΛΑΔΑΣ - ΧΑΛΚΙΔΕΩΝ,ΠΕΛΟΠΟΝΝΗΣΟΥ - ΚΟΡΙΝΘΙΩΝ,</v>
      </c>
      <c r="I14" s="210" t="str">
        <f t="shared" si="2"/>
        <v/>
      </c>
      <c r="J14" s="210" t="str">
        <f t="shared" si="3"/>
        <v/>
      </c>
      <c r="K14" s="210" t="str">
        <f>IF(I14="",K12,K12&amp;I14&amp;",")</f>
        <v>14446,14370,14426,14126,14356,14250,14158,14174,14402,14540,14228,</v>
      </c>
      <c r="L14" s="210" t="str">
        <f>IF(J14="",L12,L12&amp;J14&amp;",")</f>
        <v>Σαλαμίνας,Πέλλας,Πυλαίας - Χορτιάτη,Ηρακλείου,Ορεστίδος,Λαρισαίων,Ιωαννιτών,Καβάλας,Πατρέων,Χαλκιδέων,Κορινθίων,</v>
      </c>
    </row>
    <row r="15" spans="1:12" ht="15.75" thickBot="1" x14ac:dyDescent="0.3">
      <c r="A15" s="202"/>
      <c r="B15" s="202"/>
      <c r="C15" s="208" t="str">
        <f>IF(LEN(C14)&gt;1,IF(A15="",LEFT(C14,LEN(C14)-1),C14&amp;A15),IF(A15="","",A15))</f>
        <v>ΑΤΤΙΚΗΣ - ΣΑΛΑΜΙΝΟΣ,ΚΕΝΤΡΙΚΗΣ ΜΑΚΕΔΟΝΙΑΣ - ΠΕΛΛΑΣ,ΚΕΝΤΡΙΚΗΣ ΜΑΚΕΔΟΝΙΑΣ - ΠΥΛΑΙΑΣ – ΧΟΡΤΙΑΤΗ,ΚΡΗΤΗΣ - ΗΡΑΚΛΕΙΟΥ,ΔΥΤΙΚΗΣ ΜΑΚΕΔΟΝΙΑΣ - ΟΡΕΣΤΙΔΟΣ,ΘΕΣΣΑΛΙΑΣ - ΛΑΡΙΣΑΙΩΝ,ΗΠΕΙΡΟΥ - ΙΩΑΝΝΙΤΩΝ,ΑΝΑΤΟΛΙΚΗΣ ΜΑΚΕΔΟΝΙΑΣ ΚΑΙ ΘΡΑΚΗΣ - ΚΑΒΑΛΑΣ,ΔΥΤΙΚΗΣ ΕΛΛΑΔΑΣ - ΠΑΤΡΕΩΝ,ΣΤΕΡΕΑΣ ΕΛΛΑΔΑΣ - ΛΑΜΙΕΩΝ,ΠΕΛΟΠΟΝΝΗΣΟΥ - ΚΟΡΙΝΘΙΩΝ</v>
      </c>
      <c r="D15" s="208" t="str">
        <f t="shared" si="0"/>
        <v/>
      </c>
      <c r="E15" s="208" t="str">
        <f t="shared" si="1"/>
        <v/>
      </c>
      <c r="F15" s="208" t="str">
        <f>IF(LEN(F14)&gt;1,IF(D15="",LEFT(F14,LEN(F14)-1),F14&amp;D15),IF(D15="","",D15))</f>
        <v>14446,14370,14426,14126,14356,14250,14158,14174,14402,14248,14228</v>
      </c>
      <c r="G15" s="208" t="str">
        <f>IF(LEN(G14)&gt;1,IF(E15="",LEFT(G14,LEN(G14)-1),G14&amp;E15),IF(E15="","",E15))</f>
        <v>Σαλαμίνας,Πέλλας,Πυλαίας - Χορτιάτη,Ηρακλείου,Ορεστίδος,Λαρισαίων,Ιωαννιτών,Καβάλας,Πατρέων,Λαμιέων,Κορινθίων</v>
      </c>
      <c r="H15" s="210" t="str">
        <f>IF(LEN(H14)&gt;1,IF(B15="",LEFT(H14,LEN(H14)-1),H14&amp;B15),IF(B15="","",B15))</f>
        <v>ΑΤΤΙΚΗΣ - ΣΑΛΑΜΙΝΟΣ,ΚΕΝΤΡΙΚΗΣ ΜΑΚΕΔΟΝΙΑΣ - ΠΕΛΛΑΣ,ΚΕΝΤΡΙΚΗΣ ΜΑΚΕΔΟΝΙΑΣ - ΠΥΛΑΙΑΣ – ΧΟΡΤΙΑΤΗ,ΚΡΗΤΗΣ - ΗΡΑΚΛΕΙΟΥ,ΔΥΤΙΚΗΣ ΜΑΚΕΔΟΝΙΑΣ - ΟΡΕΣΤΙΔΟΣ,ΘΕΣΣΑΛΙΑΣ - ΛΑΡΙΣΑΙΩΝ,ΗΠΕΙΡΟΥ - ΙΩΑΝΝΙΤΩΝ,ΑΝΑΤΟΛΙΚΗΣ ΜΑΚΕΔΟΝΙΑΣ ΚΑΙ ΘΡΑΚΗΣ - ΚΑΒΑΛΑΣ,ΔΥΤΙΚΗΣ ΕΛΛΑΔΑΣ - ΠΑΤΡΕΩΝ,ΣΤΕΡΕΑΣ ΕΛΛΑΔΑΣ - ΧΑΛΚΙΔΕΩΝ,ΠΕΛΟΠΟΝΝΗΣΟΥ - ΚΟΡΙΝΘΙΩΝ</v>
      </c>
      <c r="I15" s="210" t="str">
        <f t="shared" si="2"/>
        <v/>
      </c>
      <c r="J15" s="210" t="str">
        <f t="shared" si="3"/>
        <v/>
      </c>
      <c r="K15" s="210" t="str">
        <f>IF(LEN(K14)&gt;1,IF(I15="",LEFT(K14,LEN(K14)-1),K14&amp;I15),IF(I15="","",I15))</f>
        <v>14446,14370,14426,14126,14356,14250,14158,14174,14402,14540,14228</v>
      </c>
      <c r="L15" s="210" t="str">
        <f>IF(LEN(L14)&gt;1,IF(J15="",LEFT(L14,LEN(L14)-1),L14&amp;J15),IF(J15="","",J15))</f>
        <v>Σαλαμίνας,Πέλλας,Πυλαίας - Χορτιάτη,Ηρακλείου,Ορεστίδος,Λαρισαίων,Ιωαννιτών,Καβάλας,Πατρέων,Χαλκιδέων,Κορινθίων</v>
      </c>
    </row>
  </sheetData>
  <sheetProtection algorithmName="SHA-512" hashValue="kj2cKocJnNrt/k2t2Be8zz4hVQPlXeUN+91OLlRRuSjInl+j6oYvteXnggpWDz6h8uP4BJgUD0RtIh+kF5D2yw==" saltValue="ve9UY+DvXGVmHDeCxGAqYQ==" spinCount="100000" sheet="1" objects="1" scenarios="1" selectLockedCells="1"/>
  <dataValidations count="1">
    <dataValidation type="list" allowBlank="1" showInputMessage="1" showErrorMessage="1" sqref="A2:B15">
      <formula1>MeasTK</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1:O18"/>
  <sheetViews>
    <sheetView topLeftCell="F2" zoomScaleNormal="100" workbookViewId="0">
      <selection activeCell="J18" sqref="J18"/>
    </sheetView>
  </sheetViews>
  <sheetFormatPr defaultColWidth="0" defaultRowHeight="15" zeroHeight="1" x14ac:dyDescent="0.25"/>
  <cols>
    <col min="1" max="1" width="50" style="174" customWidth="1"/>
    <col min="2" max="2" width="23" style="174" hidden="1" customWidth="1"/>
    <col min="3" max="3" width="23" style="174" customWidth="1"/>
    <col min="4" max="5" width="23" style="219" hidden="1" customWidth="1"/>
    <col min="6" max="7" width="57.140625" style="174" customWidth="1"/>
    <col min="8" max="8" width="43.140625" style="174" customWidth="1"/>
    <col min="9" max="9" width="32.7109375" style="299" customWidth="1"/>
    <col min="10" max="10" width="25.140625" style="174" customWidth="1"/>
    <col min="11" max="11" width="6.85546875" style="174" hidden="1" customWidth="1"/>
    <col min="12" max="12" width="28.85546875" style="174" customWidth="1"/>
    <col min="13" max="13" width="6.42578125" style="174" customWidth="1"/>
    <col min="14" max="14" width="15.5703125" style="174" customWidth="1"/>
    <col min="15" max="15" width="66.85546875" style="174" customWidth="1"/>
    <col min="16" max="16384" width="9.140625" style="174" hidden="1"/>
  </cols>
  <sheetData>
    <row r="1" spans="1:15" ht="15.75" hidden="1" thickBot="1" x14ac:dyDescent="0.3">
      <c r="A1" t="s">
        <v>502</v>
      </c>
      <c r="B1" t="s">
        <v>501</v>
      </c>
      <c r="C1" s="2" t="s">
        <v>503</v>
      </c>
      <c r="D1" s="216" t="s">
        <v>900</v>
      </c>
      <c r="E1" s="216" t="s">
        <v>901</v>
      </c>
      <c r="F1" s="2" t="s">
        <v>506</v>
      </c>
      <c r="G1" s="2" t="s">
        <v>504</v>
      </c>
      <c r="H1" s="2" t="s">
        <v>928</v>
      </c>
      <c r="I1" s="2" t="s">
        <v>507</v>
      </c>
      <c r="J1" s="65" t="s">
        <v>510</v>
      </c>
      <c r="K1" s="2" t="s">
        <v>508</v>
      </c>
      <c r="L1" s="2" t="s">
        <v>509</v>
      </c>
      <c r="N1" s="65" t="s">
        <v>510</v>
      </c>
      <c r="O1" s="65" t="s">
        <v>510</v>
      </c>
    </row>
    <row r="2" spans="1:15" ht="71.25" customHeight="1" thickBot="1" x14ac:dyDescent="0.3">
      <c r="A2" s="3" t="s">
        <v>422</v>
      </c>
      <c r="B2" s="4" t="s">
        <v>28</v>
      </c>
      <c r="C2" s="4" t="s">
        <v>433</v>
      </c>
      <c r="D2" s="220"/>
      <c r="E2" s="220"/>
      <c r="F2" s="4" t="s">
        <v>575</v>
      </c>
      <c r="G2" s="4" t="s">
        <v>479</v>
      </c>
      <c r="H2" s="4" t="s">
        <v>443</v>
      </c>
      <c r="I2" s="4" t="s">
        <v>929</v>
      </c>
      <c r="J2" s="4" t="s">
        <v>923</v>
      </c>
      <c r="K2" s="85" t="s">
        <v>497</v>
      </c>
      <c r="L2" s="86" t="s">
        <v>421</v>
      </c>
      <c r="N2" s="46" t="s">
        <v>452</v>
      </c>
      <c r="O2" s="107" t="s">
        <v>550</v>
      </c>
    </row>
    <row r="3" spans="1:15" ht="30.75" customHeight="1" thickTop="1" x14ac:dyDescent="0.25">
      <c r="A3" s="17" t="s">
        <v>442</v>
      </c>
      <c r="B3" s="44" t="str">
        <f>ΓΕΝΙΚΑ!C4</f>
        <v>CYTA</v>
      </c>
      <c r="C3" s="179" t="s">
        <v>434</v>
      </c>
      <c r="D3" s="221" t="str">
        <f>IF(N3="",IF(ΓΕΝΙΚΑ!$B$16="ΝΑΙ",'ΤΚ ΜΕΤΡΗΣΕΩΝ B01'!F15,""),"")</f>
        <v>14446,14370,14426,14126,14356,14250,14158,14174,14402,14248,14228</v>
      </c>
      <c r="E3" s="221" t="str">
        <f>IF(ΓΕΝΙΚΑ!$B$16="ΝΑΙ",'ΤΚ ΜΕΤΡΗΣΕΩΝ B01'!G15,"")</f>
        <v>Σαλαμίνας,Πέλλας,Πυλαίας - Χορτιάτη,Ηρακλείου,Ορεστίδος,Λαρισαίων,Ιωαννιτών,Καβάλας,Πατρέων,Λαμιέων,Κορινθίων</v>
      </c>
      <c r="F3" s="203" t="str">
        <f>'ΤΚ ΜΕΤΡΗΣΕΩΝ B01'!C15</f>
        <v>ΑΤΤΙΚΗΣ - ΣΑΛΑΜΙΝΟΣ,ΚΕΝΤΡΙΚΗΣ ΜΑΚΕΔΟΝΙΑΣ - ΠΕΛΛΑΣ,ΚΕΝΤΡΙΚΗΣ ΜΑΚΕΔΟΝΙΑΣ - ΠΥΛΑΙΑΣ – ΧΟΡΤΙΑΤΗ,ΚΡΗΤΗΣ - ΗΡΑΚΛΕΙΟΥ,ΔΥΤΙΚΗΣ ΜΑΚΕΔΟΝΙΑΣ - ΟΡΕΣΤΙΔΟΣ,ΘΕΣΣΑΛΙΑΣ - ΛΑΡΙΣΑΙΩΝ,ΗΠΕΙΡΟΥ - ΙΩΑΝΝΙΤΩΝ,ΑΝΑΤΟΛΙΚΗΣ ΜΑΚΕΔΟΝΙΑΣ ΚΑΙ ΘΡΑΚΗΣ - ΚΑΒΑΛΑΣ,ΔΥΤΙΚΗΣ ΕΛΛΑΔΑΣ - ΠΑΤΡΕΩΝ,ΣΤΕΡΕΑΣ ΕΛΛΑΔΑΣ - ΛΑΜΙΕΩΝ,ΠΕΛΟΠΟΝΝΗΣΟΥ - ΚΟΡΙΝΘΙΩΝ</v>
      </c>
      <c r="G3" s="5" t="s">
        <v>440</v>
      </c>
      <c r="H3" s="5" t="s">
        <v>445</v>
      </c>
      <c r="I3" s="298">
        <f>J$3</f>
        <v>0.5</v>
      </c>
      <c r="J3" s="186">
        <v>0.5</v>
      </c>
      <c r="K3" s="270">
        <f>IF(ISNUMBER(J3),ROUND(J3,2),"")</f>
        <v>0.5</v>
      </c>
      <c r="L3" s="260"/>
      <c r="N3" s="98" t="str">
        <f>IF(O3="","","ΣΦΑΛΜΑ")</f>
        <v/>
      </c>
      <c r="O3" s="99" t="str">
        <f>CONCATENATE(IF(AND(ISNUMBER(J3)=FALSE),"Η Τιμή (Mbps) πρέπει να είναι αριθμός.",IF(J3&lt;0,"  |  Η Τιμή (Mbps) πρέπει να είναι θετικός αριθμός","")),IF(AND(J3&lt;&gt;"",F3=""),"   |   Το ΤΚ στο οποίο πραγματοποιήθηκαν μετρήσεις πρέπει να συμπληρωθεί",""),"")</f>
        <v/>
      </c>
    </row>
    <row r="4" spans="1:15" ht="30.75" customHeight="1" x14ac:dyDescent="0.25">
      <c r="A4" s="13" t="str">
        <f>$A$3</f>
        <v>Β01</v>
      </c>
      <c r="B4" s="14" t="str">
        <f t="shared" ref="B4:B18" si="0">$B$3</f>
        <v>CYTA</v>
      </c>
      <c r="C4" s="14" t="str">
        <f>$C$3</f>
        <v>Άμεση</v>
      </c>
      <c r="D4" s="218" t="str">
        <f>IF(N3="",$D$3,"")</f>
        <v>14446,14370,14426,14126,14356,14250,14158,14174,14402,14248,14228</v>
      </c>
      <c r="E4" s="218" t="str">
        <f>$E$3</f>
        <v>Σαλαμίνας,Πέλλας,Πυλαίας - Χορτιάτη,Ηρακλείου,Ορεστίδος,Λαρισαίων,Ιωαννιτών,Καβάλας,Πατρέων,Λαμιέων,Κορινθίων</v>
      </c>
      <c r="F4" s="49" t="str">
        <f t="shared" ref="F4:F10" si="1">$F$3</f>
        <v>ΑΤΤΙΚΗΣ - ΣΑΛΑΜΙΝΟΣ,ΚΕΝΤΡΙΚΗΣ ΜΑΚΕΔΟΝΙΑΣ - ΠΕΛΛΑΣ,ΚΕΝΤΡΙΚΗΣ ΜΑΚΕΔΟΝΙΑΣ - ΠΥΛΑΙΑΣ – ΧΟΡΤΙΑΤΗ,ΚΡΗΤΗΣ - ΗΡΑΚΛΕΙΟΥ,ΔΥΤΙΚΗΣ ΜΑΚΕΔΟΝΙΑΣ - ΟΡΕΣΤΙΔΟΣ,ΘΕΣΣΑΛΙΑΣ - ΛΑΡΙΣΑΙΩΝ,ΗΠΕΙΡΟΥ - ΙΩΑΝΝΙΤΩΝ,ΑΝΑΤΟΛΙΚΗΣ ΜΑΚΕΔΟΝΙΑΣ ΚΑΙ ΘΡΑΚΗΣ - ΚΑΒΑΛΑΣ,ΔΥΤΙΚΗΣ ΕΛΛΑΔΑΣ - ΠΑΤΡΕΩΝ,ΣΤΕΡΕΑΣ ΕΛΛΑΔΑΣ - ΛΑΜΙΕΩΝ,ΠΕΛΟΠΟΝΝΗΣΟΥ - ΚΟΡΙΝΘΙΩΝ</v>
      </c>
      <c r="G4" s="5" t="s">
        <v>440</v>
      </c>
      <c r="H4" s="5" t="s">
        <v>446</v>
      </c>
      <c r="I4" s="300">
        <f>J$4</f>
        <v>4</v>
      </c>
      <c r="J4" s="187">
        <v>4</v>
      </c>
      <c r="K4" s="270">
        <f t="shared" ref="K4:K18" si="2">IF(ISNUMBER(J4),ROUND(J4,2),"")</f>
        <v>4</v>
      </c>
      <c r="L4" s="240">
        <f>L$3</f>
        <v>0</v>
      </c>
      <c r="N4" s="100" t="str">
        <f t="shared" ref="N4:N18" si="3">IF(O4="","","ΣΦΑΛΜΑ")</f>
        <v/>
      </c>
      <c r="O4" s="99" t="str">
        <f>CONCATENATE(IF(AND(ISNUMBER(J4)=FALSE),"Η Τιμή (Mbps) πρέπει να είναι αριθμός.",IF(J4&lt;0,"  |  Η Τιμή (Mbps) πρέπει να είναι θετικός αριθμός","")),IF(AND(J4&lt;&gt;"",F4=""),"   |   Το ΤΚ στο οποίο πραγματοποιήθηκαν μετρήσεις πρέπει να συμπληρωθεί",""),"")</f>
        <v/>
      </c>
    </row>
    <row r="5" spans="1:15" ht="30.75" customHeight="1" x14ac:dyDescent="0.25">
      <c r="A5" s="13" t="str">
        <f t="shared" ref="A5:A11" si="4">$A$3</f>
        <v>Β01</v>
      </c>
      <c r="B5" s="14" t="str">
        <f t="shared" si="0"/>
        <v>CYTA</v>
      </c>
      <c r="C5" s="14" t="str">
        <f t="shared" ref="C5:C10" si="5">$C$3</f>
        <v>Άμεση</v>
      </c>
      <c r="D5" s="218" t="str">
        <f t="shared" ref="D5:D10" si="6">IF(N4="",$D$3,"")</f>
        <v>14446,14370,14426,14126,14356,14250,14158,14174,14402,14248,14228</v>
      </c>
      <c r="E5" s="218" t="str">
        <f t="shared" ref="E5:E10" si="7">$E$3</f>
        <v>Σαλαμίνας,Πέλλας,Πυλαίας - Χορτιάτη,Ηρακλείου,Ορεστίδος,Λαρισαίων,Ιωαννιτών,Καβάλας,Πατρέων,Λαμιέων,Κορινθίων</v>
      </c>
      <c r="F5" s="49" t="str">
        <f t="shared" si="1"/>
        <v>ΑΤΤΙΚΗΣ - ΣΑΛΑΜΙΝΟΣ,ΚΕΝΤΡΙΚΗΣ ΜΑΚΕΔΟΝΙΑΣ - ΠΕΛΛΑΣ,ΚΕΝΤΡΙΚΗΣ ΜΑΚΕΔΟΝΙΑΣ - ΠΥΛΑΙΑΣ – ΧΟΡΤΙΑΤΗ,ΚΡΗΤΗΣ - ΗΡΑΚΛΕΙΟΥ,ΔΥΤΙΚΗΣ ΜΑΚΕΔΟΝΙΑΣ - ΟΡΕΣΤΙΔΟΣ,ΘΕΣΣΑΛΙΑΣ - ΛΑΡΙΣΑΙΩΝ,ΗΠΕΙΡΟΥ - ΙΩΑΝΝΙΤΩΝ,ΑΝΑΤΟΛΙΚΗΣ ΜΑΚΕΔΟΝΙΑΣ ΚΑΙ ΘΡΑΚΗΣ - ΚΑΒΑΛΑΣ,ΔΥΤΙΚΗΣ ΕΛΛΑΔΑΣ - ΠΑΤΡΕΩΝ,ΣΤΕΡΕΑΣ ΕΛΛΑΔΑΣ - ΛΑΜΙΕΩΝ,ΠΕΛΟΠΟΝΝΗΣΟΥ - ΚΟΡΙΝΘΙΩΝ</v>
      </c>
      <c r="G5" s="7" t="s">
        <v>480</v>
      </c>
      <c r="H5" s="5" t="s">
        <v>445</v>
      </c>
      <c r="I5" s="298">
        <f>J$3</f>
        <v>0.5</v>
      </c>
      <c r="J5" s="187">
        <v>0.42899999999999999</v>
      </c>
      <c r="K5" s="270">
        <f t="shared" si="2"/>
        <v>0.43</v>
      </c>
      <c r="L5" s="240">
        <f t="shared" ref="L5:L18" si="8">L$3</f>
        <v>0</v>
      </c>
      <c r="N5" s="100" t="str">
        <f t="shared" si="3"/>
        <v/>
      </c>
      <c r="O5" s="99" t="str">
        <f>CONCATENATE(IF(AND(ISNUMBER(J5)=FALSE),"Η Τιμή (Mbps) πρέπει να είναι αριθμός.",IF(J5&lt;0,"  |  Η Τιμή (Mbps) πρέπει να είναι θετικός αριθμός","")),IF(AND(J5&lt;&gt;"",F5=""),"   |   Το ΤΚ στο οποίο πραγματοποιήθηκαν μετρήσεις πρέπει να συμπληρωθεί",""),IF(J5&lt;J9,"  |  Η τιμή του 5ου εκατοστημορίου πρέπει να είναι μικρότερη  της τιμής του 95ου εκατοστημορίου",""))</f>
        <v/>
      </c>
    </row>
    <row r="6" spans="1:15" ht="30.75" customHeight="1" x14ac:dyDescent="0.25">
      <c r="A6" s="13" t="str">
        <f t="shared" si="4"/>
        <v>Β01</v>
      </c>
      <c r="B6" s="14" t="str">
        <f t="shared" si="0"/>
        <v>CYTA</v>
      </c>
      <c r="C6" s="14" t="str">
        <f t="shared" si="5"/>
        <v>Άμεση</v>
      </c>
      <c r="D6" s="218" t="str">
        <f t="shared" si="6"/>
        <v>14446,14370,14426,14126,14356,14250,14158,14174,14402,14248,14228</v>
      </c>
      <c r="E6" s="218" t="str">
        <f t="shared" si="7"/>
        <v>Σαλαμίνας,Πέλλας,Πυλαίας - Χορτιάτη,Ηρακλείου,Ορεστίδος,Λαρισαίων,Ιωαννιτών,Καβάλας,Πατρέων,Λαμιέων,Κορινθίων</v>
      </c>
      <c r="F6" s="49" t="str">
        <f t="shared" si="1"/>
        <v>ΑΤΤΙΚΗΣ - ΣΑΛΑΜΙΝΟΣ,ΚΕΝΤΡΙΚΗΣ ΜΑΚΕΔΟΝΙΑΣ - ΠΕΛΛΑΣ,ΚΕΝΤΡΙΚΗΣ ΜΑΚΕΔΟΝΙΑΣ - ΠΥΛΑΙΑΣ – ΧΟΡΤΙΑΤΗ,ΚΡΗΤΗΣ - ΗΡΑΚΛΕΙΟΥ,ΔΥΤΙΚΗΣ ΜΑΚΕΔΟΝΙΑΣ - ΟΡΕΣΤΙΔΟΣ,ΘΕΣΣΑΛΙΑΣ - ΛΑΡΙΣΑΙΩΝ,ΗΠΕΙΡΟΥ - ΙΩΑΝΝΙΤΩΝ,ΑΝΑΤΟΛΙΚΗΣ ΜΑΚΕΔΟΝΙΑΣ ΚΑΙ ΘΡΑΚΗΣ - ΚΑΒΑΛΑΣ,ΔΥΤΙΚΗΣ ΕΛΛΑΔΑΣ - ΠΑΤΡΕΩΝ,ΣΤΕΡΕΑΣ ΕΛΛΑΔΑΣ - ΛΑΜΙΕΩΝ,ΠΕΛΟΠΟΝΝΗΣΟΥ - ΚΟΡΙΝΘΙΩΝ</v>
      </c>
      <c r="G6" s="7" t="s">
        <v>480</v>
      </c>
      <c r="H6" s="5" t="s">
        <v>446</v>
      </c>
      <c r="I6" s="300">
        <f>J$4</f>
        <v>4</v>
      </c>
      <c r="J6" s="187">
        <v>3.5150000000000001</v>
      </c>
      <c r="K6" s="270">
        <f t="shared" si="2"/>
        <v>3.52</v>
      </c>
      <c r="L6" s="240">
        <f t="shared" si="8"/>
        <v>0</v>
      </c>
      <c r="N6" s="100" t="str">
        <f t="shared" si="3"/>
        <v/>
      </c>
      <c r="O6" s="99" t="str">
        <f>CONCATENATE(IF(AND(ISNUMBER(J6)=FALSE),"Η Τιμή (Mbps) πρέπει να είναι αριθμός.",IF(J6&lt;0,"  |  Η Τιμή (Mbps) πρέπει να είναι θετικός αριθμός","")),IF(AND(J6&lt;&gt;"",F6=""),"   |   Το ΤΚ στο οποίο πραγματοποιήθηκαν μετρήσεις πρέπει να συμπληρωθεί",""),IF(J6&lt;J10,"  |  Η τιμή του 5ου εκατοστημορίου πρέπει να είναι μικρότερη  της τιμής του 95ου εκατοστημορίου",""))</f>
        <v/>
      </c>
    </row>
    <row r="7" spans="1:15" ht="30.75" customHeight="1" x14ac:dyDescent="0.25">
      <c r="A7" s="13" t="str">
        <f t="shared" si="4"/>
        <v>Β01</v>
      </c>
      <c r="B7" s="14" t="str">
        <f t="shared" si="0"/>
        <v>CYTA</v>
      </c>
      <c r="C7" s="14" t="str">
        <f t="shared" si="5"/>
        <v>Άμεση</v>
      </c>
      <c r="D7" s="218" t="str">
        <f t="shared" si="6"/>
        <v>14446,14370,14426,14126,14356,14250,14158,14174,14402,14248,14228</v>
      </c>
      <c r="E7" s="218" t="str">
        <f t="shared" si="7"/>
        <v>Σαλαμίνας,Πέλλας,Πυλαίας - Χορτιάτη,Ηρακλείου,Ορεστίδος,Λαρισαίων,Ιωαννιτών,Καβάλας,Πατρέων,Λαμιέων,Κορινθίων</v>
      </c>
      <c r="F7" s="49" t="str">
        <f t="shared" si="1"/>
        <v>ΑΤΤΙΚΗΣ - ΣΑΛΑΜΙΝΟΣ,ΚΕΝΤΡΙΚΗΣ ΜΑΚΕΔΟΝΙΑΣ - ΠΕΛΛΑΣ,ΚΕΝΤΡΙΚΗΣ ΜΑΚΕΔΟΝΙΑΣ - ΠΥΛΑΙΑΣ – ΧΟΡΤΙΑΤΗ,ΚΡΗΤΗΣ - ΗΡΑΚΛΕΙΟΥ,ΔΥΤΙΚΗΣ ΜΑΚΕΔΟΝΙΑΣ - ΟΡΕΣΤΙΔΟΣ,ΘΕΣΣΑΛΙΑΣ - ΛΑΡΙΣΑΙΩΝ,ΗΠΕΙΡΟΥ - ΙΩΑΝΝΙΤΩΝ,ΑΝΑΤΟΛΙΚΗΣ ΜΑΚΕΔΟΝΙΑΣ ΚΑΙ ΘΡΑΚΗΣ - ΚΑΒΑΛΑΣ,ΔΥΤΙΚΗΣ ΕΛΛΑΔΑΣ - ΠΑΤΡΕΩΝ,ΣΤΕΡΕΑΣ ΕΛΛΑΔΑΣ - ΛΑΜΙΕΩΝ,ΠΕΛΟΠΟΝΝΗΣΟΥ - ΚΟΡΙΝΘΙΩΝ</v>
      </c>
      <c r="G7" s="7" t="s">
        <v>441</v>
      </c>
      <c r="H7" s="5" t="s">
        <v>445</v>
      </c>
      <c r="I7" s="298">
        <f>J$3</f>
        <v>0.5</v>
      </c>
      <c r="J7" s="187">
        <v>0.41599999999999998</v>
      </c>
      <c r="K7" s="270">
        <f t="shared" si="2"/>
        <v>0.42</v>
      </c>
      <c r="L7" s="240">
        <f t="shared" si="8"/>
        <v>0</v>
      </c>
      <c r="N7" s="100" t="str">
        <f t="shared" si="3"/>
        <v/>
      </c>
      <c r="O7" s="99" t="str">
        <f>CONCATENATE(IF(AND(ISNUMBER(J7)=FALSE),"Η Τιμή (Mbps) πρέπει να είναι αριθμός.",IF(J7&lt;0,"  |  Η Τιμή (Mbps) πρέπει να είναι θετικός αριθμός","")),IF(AND(J7&lt;&gt;"",F7=""),"   |   Το ΤΚ στο οποίο πραγματοποιήθηκαν μετρήσεις πρέπει να συμπληρωθεί",""))</f>
        <v/>
      </c>
    </row>
    <row r="8" spans="1:15" ht="30.75" customHeight="1" x14ac:dyDescent="0.25">
      <c r="A8" s="13" t="str">
        <f t="shared" si="4"/>
        <v>Β01</v>
      </c>
      <c r="B8" s="14" t="str">
        <f t="shared" si="0"/>
        <v>CYTA</v>
      </c>
      <c r="C8" s="14" t="str">
        <f t="shared" si="5"/>
        <v>Άμεση</v>
      </c>
      <c r="D8" s="218" t="str">
        <f t="shared" si="6"/>
        <v>14446,14370,14426,14126,14356,14250,14158,14174,14402,14248,14228</v>
      </c>
      <c r="E8" s="218" t="str">
        <f t="shared" si="7"/>
        <v>Σαλαμίνας,Πέλλας,Πυλαίας - Χορτιάτη,Ηρακλείου,Ορεστίδος,Λαρισαίων,Ιωαννιτών,Καβάλας,Πατρέων,Λαμιέων,Κορινθίων</v>
      </c>
      <c r="F8" s="49" t="str">
        <f t="shared" si="1"/>
        <v>ΑΤΤΙΚΗΣ - ΣΑΛΑΜΙΝΟΣ,ΚΕΝΤΡΙΚΗΣ ΜΑΚΕΔΟΝΙΑΣ - ΠΕΛΛΑΣ,ΚΕΝΤΡΙΚΗΣ ΜΑΚΕΔΟΝΙΑΣ - ΠΥΛΑΙΑΣ – ΧΟΡΤΙΑΤΗ,ΚΡΗΤΗΣ - ΗΡΑΚΛΕΙΟΥ,ΔΥΤΙΚΗΣ ΜΑΚΕΔΟΝΙΑΣ - ΟΡΕΣΤΙΔΟΣ,ΘΕΣΣΑΛΙΑΣ - ΛΑΡΙΣΑΙΩΝ,ΗΠΕΙΡΟΥ - ΙΩΑΝΝΙΤΩΝ,ΑΝΑΤΟΛΙΚΗΣ ΜΑΚΕΔΟΝΙΑΣ ΚΑΙ ΘΡΑΚΗΣ - ΚΑΒΑΛΑΣ,ΔΥΤΙΚΗΣ ΕΛΛΑΔΑΣ - ΠΑΤΡΕΩΝ,ΣΤΕΡΕΑΣ ΕΛΛΑΔΑΣ - ΛΑΜΙΕΩΝ,ΠΕΛΟΠΟΝΝΗΣΟΥ - ΚΟΡΙΝΘΙΩΝ</v>
      </c>
      <c r="G8" s="7" t="s">
        <v>441</v>
      </c>
      <c r="H8" s="5" t="s">
        <v>446</v>
      </c>
      <c r="I8" s="300">
        <f>J$4</f>
        <v>4</v>
      </c>
      <c r="J8" s="187">
        <v>3.3460000000000001</v>
      </c>
      <c r="K8" s="270">
        <f t="shared" si="2"/>
        <v>3.35</v>
      </c>
      <c r="L8" s="240">
        <f t="shared" si="8"/>
        <v>0</v>
      </c>
      <c r="N8" s="100" t="str">
        <f t="shared" si="3"/>
        <v/>
      </c>
      <c r="O8" s="99" t="str">
        <f>CONCATENATE(IF(AND(ISNUMBER(J8)=FALSE),"Η Τιμή (Mbps) πρέπει να είναι αριθμός.",IF(J8&lt;0,"  |  Η Τιμή (Mbps) πρέπει να είναι θετικός αριθμός","")),IF(AND(J8&lt;&gt;"",F8=""),"   |   Το ΤΚ στο οποίο πραγματοποιήθηκαν μετρήσεις πρέπει να συμπληρωθεί",""))</f>
        <v/>
      </c>
    </row>
    <row r="9" spans="1:15" ht="30.75" customHeight="1" x14ac:dyDescent="0.25">
      <c r="A9" s="13" t="str">
        <f t="shared" si="4"/>
        <v>Β01</v>
      </c>
      <c r="B9" s="14" t="str">
        <f t="shared" si="0"/>
        <v>CYTA</v>
      </c>
      <c r="C9" s="14" t="str">
        <f t="shared" si="5"/>
        <v>Άμεση</v>
      </c>
      <c r="D9" s="218" t="str">
        <f t="shared" si="6"/>
        <v>14446,14370,14426,14126,14356,14250,14158,14174,14402,14248,14228</v>
      </c>
      <c r="E9" s="218" t="str">
        <f t="shared" si="7"/>
        <v>Σαλαμίνας,Πέλλας,Πυλαίας - Χορτιάτη,Ηρακλείου,Ορεστίδος,Λαρισαίων,Ιωαννιτών,Καβάλας,Πατρέων,Λαμιέων,Κορινθίων</v>
      </c>
      <c r="F9" s="49" t="str">
        <f t="shared" si="1"/>
        <v>ΑΤΤΙΚΗΣ - ΣΑΛΑΜΙΝΟΣ,ΚΕΝΤΡΙΚΗΣ ΜΑΚΕΔΟΝΙΑΣ - ΠΕΛΛΑΣ,ΚΕΝΤΡΙΚΗΣ ΜΑΚΕΔΟΝΙΑΣ - ΠΥΛΑΙΑΣ – ΧΟΡΤΙΑΤΗ,ΚΡΗΤΗΣ - ΗΡΑΚΛΕΙΟΥ,ΔΥΤΙΚΗΣ ΜΑΚΕΔΟΝΙΑΣ - ΟΡΕΣΤΙΔΟΣ,ΘΕΣΣΑΛΙΑΣ - ΛΑΡΙΣΑΙΩΝ,ΗΠΕΙΡΟΥ - ΙΩΑΝΝΙΤΩΝ,ΑΝΑΤΟΛΙΚΗΣ ΜΑΚΕΔΟΝΙΑΣ ΚΑΙ ΘΡΑΚΗΣ - ΚΑΒΑΛΑΣ,ΔΥΤΙΚΗΣ ΕΛΛΑΔΑΣ - ΠΑΤΡΕΩΝ,ΣΤΕΡΕΑΣ ΕΛΛΑΔΑΣ - ΛΑΜΙΕΩΝ,ΠΕΛΟΠΟΝΝΗΣΟΥ - ΚΟΡΙΝΘΙΩΝ</v>
      </c>
      <c r="G9" s="7" t="s">
        <v>481</v>
      </c>
      <c r="H9" s="5" t="s">
        <v>445</v>
      </c>
      <c r="I9" s="298">
        <f>J$3</f>
        <v>0.5</v>
      </c>
      <c r="J9" s="187">
        <v>0.39</v>
      </c>
      <c r="K9" s="270">
        <f t="shared" si="2"/>
        <v>0.39</v>
      </c>
      <c r="L9" s="240">
        <f t="shared" si="8"/>
        <v>0</v>
      </c>
      <c r="N9" s="100" t="str">
        <f t="shared" si="3"/>
        <v/>
      </c>
      <c r="O9" s="99" t="str">
        <f>CONCATENATE(IF(AND(ISNUMBER(J9)=FALSE),"Η Τιμή (Mbps) πρέπει να είναι αριθμός.",IF(J9&lt;0,"  |  Η Τιμή (Mbps) πρέπει να είναι θετικός αριθμός","")),IF(AND(J9&lt;&gt;"",F9=""),"   |   Το ΤΚ στο οποίο πραγματοποιήθηκαν μετρήσεις πρέπει να συμπληρωθεί",""),IF(J5&lt;J9,"  |  Η τιμή του 5ου εκατοστημορίου πρέπει να είναι μικρότερη  της τιμής του 95ου εκατοστημορίου",""))</f>
        <v/>
      </c>
    </row>
    <row r="10" spans="1:15" ht="30.75" customHeight="1" thickBot="1" x14ac:dyDescent="0.3">
      <c r="A10" s="15" t="str">
        <f t="shared" si="4"/>
        <v>Β01</v>
      </c>
      <c r="B10" s="16" t="str">
        <f t="shared" si="0"/>
        <v>CYTA</v>
      </c>
      <c r="C10" s="16" t="str">
        <f t="shared" si="5"/>
        <v>Άμεση</v>
      </c>
      <c r="D10" s="222" t="str">
        <f t="shared" si="6"/>
        <v>14446,14370,14426,14126,14356,14250,14158,14174,14402,14248,14228</v>
      </c>
      <c r="E10" s="222" t="str">
        <f t="shared" si="7"/>
        <v>Σαλαμίνας,Πέλλας,Πυλαίας - Χορτιάτη,Ηρακλείου,Ορεστίδος,Λαρισαίων,Ιωαννιτών,Καβάλας,Πατρέων,Λαμιέων,Κορινθίων</v>
      </c>
      <c r="F10" s="48" t="str">
        <f t="shared" si="1"/>
        <v>ΑΤΤΙΚΗΣ - ΣΑΛΑΜΙΝΟΣ,ΚΕΝΤΡΙΚΗΣ ΜΑΚΕΔΟΝΙΑΣ - ΠΕΛΛΑΣ,ΚΕΝΤΡΙΚΗΣ ΜΑΚΕΔΟΝΙΑΣ - ΠΥΛΑΙΑΣ – ΧΟΡΤΙΑΤΗ,ΚΡΗΤΗΣ - ΗΡΑΚΛΕΙΟΥ,ΔΥΤΙΚΗΣ ΜΑΚΕΔΟΝΙΑΣ - ΟΡΕΣΤΙΔΟΣ,ΘΕΣΣΑΛΙΑΣ - ΛΑΡΙΣΑΙΩΝ,ΗΠΕΙΡΟΥ - ΙΩΑΝΝΙΤΩΝ,ΑΝΑΤΟΛΙΚΗΣ ΜΑΚΕΔΟΝΙΑΣ ΚΑΙ ΘΡΑΚΗΣ - ΚΑΒΑΛΑΣ,ΔΥΤΙΚΗΣ ΕΛΛΑΔΑΣ - ΠΑΤΡΕΩΝ,ΣΤΕΡΕΑΣ ΕΛΛΑΔΑΣ - ΛΑΜΙΕΩΝ,ΠΕΛΟΠΟΝΝΗΣΟΥ - ΚΟΡΙΝΘΙΩΝ</v>
      </c>
      <c r="G10" s="6" t="s">
        <v>481</v>
      </c>
      <c r="H10" s="12" t="s">
        <v>446</v>
      </c>
      <c r="I10" s="302">
        <f>J$4</f>
        <v>4</v>
      </c>
      <c r="J10" s="188">
        <v>3.2320000000000002</v>
      </c>
      <c r="K10" s="270">
        <f t="shared" si="2"/>
        <v>3.23</v>
      </c>
      <c r="L10" s="240">
        <f t="shared" si="8"/>
        <v>0</v>
      </c>
      <c r="N10" s="100" t="str">
        <f t="shared" si="3"/>
        <v/>
      </c>
      <c r="O10" s="99" t="str">
        <f>CONCATENATE(IF(AND(ISNUMBER(J10)=FALSE),"Η Τιμή (Mbps) πρέπει να είναι αριθμός.",IF(J10&lt;0,"  |  Η Τιμή (Mbps) πρέπει να είναι θετικός αριθμός","")),IF(AND(J10&lt;&gt;"",F10=""),"   |   Το ΤΚ στο οποίο πραγματοποιήθηκαν μετρήσεις πρέπει να συμπληρωθεί",""),IF(J6&lt;J10,"  |  Η τιμή του 5ου εκατοστημορίου πρέπει να είναι μικρότερη  της τιμής του 95ου εκατοστημορίου",""))</f>
        <v/>
      </c>
    </row>
    <row r="11" spans="1:15" ht="30.75" customHeight="1" x14ac:dyDescent="0.25">
      <c r="A11" s="13" t="str">
        <f t="shared" si="4"/>
        <v>Β01</v>
      </c>
      <c r="B11" s="14" t="str">
        <f t="shared" si="0"/>
        <v>CYTA</v>
      </c>
      <c r="C11" s="63" t="str">
        <f>$C$3</f>
        <v>Άμεση</v>
      </c>
      <c r="D11" s="223" t="str">
        <f>IF(N11="",IF(ΓΕΝΙΚΑ!$B$16="ΝΑΙ",'ΤΚ ΜΕΤΡΗΣΕΩΝ B01'!K15,""),"")</f>
        <v>14446,14370,14426,14126,14356,14250,14158,14174,14402,14540,14228</v>
      </c>
      <c r="E11" s="223" t="str">
        <f>IF(ΓΕΝΙΚΑ!$B$16="ΝΑΙ",'ΤΚ ΜΕΤΡΗΣΕΩΝ B01'!L15,"")</f>
        <v>Σαλαμίνας,Πέλλας,Πυλαίας - Χορτιάτη,Ηρακλείου,Ορεστίδος,Λαρισαίων,Ιωαννιτών,Καβάλας,Πατρέων,Χαλκιδέων,Κορινθίων</v>
      </c>
      <c r="F11" s="203" t="str">
        <f>'ΤΚ ΜΕΤΡΗΣΕΩΝ B01'!H15</f>
        <v>ΑΤΤΙΚΗΣ - ΣΑΛΑΜΙΝΟΣ,ΚΕΝΤΡΙΚΗΣ ΜΑΚΕΔΟΝΙΑΣ - ΠΕΛΛΑΣ,ΚΕΝΤΡΙΚΗΣ ΜΑΚΕΔΟΝΙΑΣ - ΠΥΛΑΙΑΣ – ΧΟΡΤΙΑΤΗ,ΚΡΗΤΗΣ - ΗΡΑΚΛΕΙΟΥ,ΔΥΤΙΚΗΣ ΜΑΚΕΔΟΝΙΑΣ - ΟΡΕΣΤΙΔΟΣ,ΘΕΣΣΑΛΙΑΣ - ΛΑΡΙΣΑΙΩΝ,ΗΠΕΙΡΟΥ - ΙΩΑΝΝΙΤΩΝ,ΑΝΑΤΟΛΙΚΗΣ ΜΑΚΕΔΟΝΙΑΣ ΚΑΙ ΘΡΑΚΗΣ - ΚΑΒΑΛΑΣ,ΔΥΤΙΚΗΣ ΕΛΛΑΔΑΣ - ΠΑΤΡΕΩΝ,ΣΤΕΡΕΑΣ ΕΛΛΑΔΑΣ - ΧΑΛΚΙΔΕΩΝ,ΠΕΛΟΠΟΝΝΗΣΟΥ - ΚΟΡΙΝΘΙΩΝ</v>
      </c>
      <c r="G11" s="5" t="s">
        <v>440</v>
      </c>
      <c r="H11" s="5" t="s">
        <v>445</v>
      </c>
      <c r="I11" s="298">
        <f>J$11</f>
        <v>1</v>
      </c>
      <c r="J11" s="186">
        <v>1</v>
      </c>
      <c r="K11" s="270">
        <f t="shared" si="2"/>
        <v>1</v>
      </c>
      <c r="L11" s="240">
        <f t="shared" si="8"/>
        <v>0</v>
      </c>
      <c r="N11" s="100" t="str">
        <f t="shared" si="3"/>
        <v/>
      </c>
      <c r="O11" s="108" t="str">
        <f>IF(I11&lt;&gt;"",CONCATENATE(IF(AND(J11&lt;&gt;"",F11=""),"   |   Το ΤΚ στο οποίο πραγματοποιήθηκαν μετρήσεις πρέπει να συμπληρωθεί",""),""),"")</f>
        <v/>
      </c>
    </row>
    <row r="12" spans="1:15" ht="30.75" customHeight="1" x14ac:dyDescent="0.25">
      <c r="A12" s="13" t="str">
        <f>$A$3</f>
        <v>Β01</v>
      </c>
      <c r="B12" s="14" t="str">
        <f>$B$3</f>
        <v>CYTA</v>
      </c>
      <c r="C12" s="14" t="str">
        <f>$C$3</f>
        <v>Άμεση</v>
      </c>
      <c r="D12" s="218" t="str">
        <f>IF(N12="",$D$11,"")</f>
        <v>14446,14370,14426,14126,14356,14250,14158,14174,14402,14540,14228</v>
      </c>
      <c r="E12" s="218" t="str">
        <f>$E$11</f>
        <v>Σαλαμίνας,Πέλλας,Πυλαίας - Χορτιάτη,Ηρακλείου,Ορεστίδος,Λαρισαίων,Ιωαννιτών,Καβάλας,Πατρέων,Χαλκιδέων,Κορινθίων</v>
      </c>
      <c r="F12" s="49" t="str">
        <f t="shared" ref="F12:F18" si="9">$F$3</f>
        <v>ΑΤΤΙΚΗΣ - ΣΑΛΑΜΙΝΟΣ,ΚΕΝΤΡΙΚΗΣ ΜΑΚΕΔΟΝΙΑΣ - ΠΕΛΛΑΣ,ΚΕΝΤΡΙΚΗΣ ΜΑΚΕΔΟΝΙΑΣ - ΠΥΛΑΙΑΣ – ΧΟΡΤΙΑΤΗ,ΚΡΗΤΗΣ - ΗΡΑΚΛΕΙΟΥ,ΔΥΤΙΚΗΣ ΜΑΚΕΔΟΝΙΑΣ - ΟΡΕΣΤΙΔΟΣ,ΘΕΣΣΑΛΙΑΣ - ΛΑΡΙΣΑΙΩΝ,ΗΠΕΙΡΟΥ - ΙΩΑΝΝΙΤΩΝ,ΑΝΑΤΟΛΙΚΗΣ ΜΑΚΕΔΟΝΙΑΣ ΚΑΙ ΘΡΑΚΗΣ - ΚΑΒΑΛΑΣ,ΔΥΤΙΚΗΣ ΕΛΛΑΔΑΣ - ΠΑΤΡΕΩΝ,ΣΤΕΡΕΑΣ ΕΛΛΑΔΑΣ - ΛΑΜΙΕΩΝ,ΠΕΛΟΠΟΝΝΗΣΟΥ - ΚΟΡΙΝΘΙΩΝ</v>
      </c>
      <c r="G12" s="5" t="s">
        <v>440</v>
      </c>
      <c r="H12" s="5" t="s">
        <v>446</v>
      </c>
      <c r="I12" s="300">
        <f>J$12</f>
        <v>24</v>
      </c>
      <c r="J12" s="187">
        <v>24</v>
      </c>
      <c r="K12" s="270">
        <f t="shared" si="2"/>
        <v>24</v>
      </c>
      <c r="L12" s="240">
        <f t="shared" si="8"/>
        <v>0</v>
      </c>
      <c r="N12" s="100" t="str">
        <f t="shared" si="3"/>
        <v/>
      </c>
      <c r="O12" s="108" t="str">
        <f>IF(I12&lt;&gt;"",CONCATENATE(IF(AND(J12&lt;&gt;"",F12=""),"   |   Το ΤΚ στο οποίο πραγματοποιήθηκαν μετρήσεις πρέπει να συμπληρωθεί",""),""),"")</f>
        <v/>
      </c>
    </row>
    <row r="13" spans="1:15" ht="30.75" customHeight="1" x14ac:dyDescent="0.25">
      <c r="A13" s="13" t="str">
        <f t="shared" ref="A13:A18" si="10">$A$3</f>
        <v>Β01</v>
      </c>
      <c r="B13" s="14" t="str">
        <f t="shared" si="0"/>
        <v>CYTA</v>
      </c>
      <c r="C13" s="14" t="str">
        <f t="shared" ref="C13:C18" si="11">$C$3</f>
        <v>Άμεση</v>
      </c>
      <c r="D13" s="218" t="str">
        <f t="shared" ref="D13:D18" si="12">IF(N13="",$D$11,"")</f>
        <v>14446,14370,14426,14126,14356,14250,14158,14174,14402,14540,14228</v>
      </c>
      <c r="E13" s="218" t="str">
        <f t="shared" ref="E13:E18" si="13">$E$11</f>
        <v>Σαλαμίνας,Πέλλας,Πυλαίας - Χορτιάτη,Ηρακλείου,Ορεστίδος,Λαρισαίων,Ιωαννιτών,Καβάλας,Πατρέων,Χαλκιδέων,Κορινθίων</v>
      </c>
      <c r="F13" s="49" t="str">
        <f t="shared" si="9"/>
        <v>ΑΤΤΙΚΗΣ - ΣΑΛΑΜΙΝΟΣ,ΚΕΝΤΡΙΚΗΣ ΜΑΚΕΔΟΝΙΑΣ - ΠΕΛΛΑΣ,ΚΕΝΤΡΙΚΗΣ ΜΑΚΕΔΟΝΙΑΣ - ΠΥΛΑΙΑΣ – ΧΟΡΤΙΑΤΗ,ΚΡΗΤΗΣ - ΗΡΑΚΛΕΙΟΥ,ΔΥΤΙΚΗΣ ΜΑΚΕΔΟΝΙΑΣ - ΟΡΕΣΤΙΔΟΣ,ΘΕΣΣΑΛΙΑΣ - ΛΑΡΙΣΑΙΩΝ,ΗΠΕΙΡΟΥ - ΙΩΑΝΝΙΤΩΝ,ΑΝΑΤΟΛΙΚΗΣ ΜΑΚΕΔΟΝΙΑΣ ΚΑΙ ΘΡΑΚΗΣ - ΚΑΒΑΛΑΣ,ΔΥΤΙΚΗΣ ΕΛΛΑΔΑΣ - ΠΑΤΡΕΩΝ,ΣΤΕΡΕΑΣ ΕΛΛΑΔΑΣ - ΛΑΜΙΕΩΝ,ΠΕΛΟΠΟΝΝΗΣΟΥ - ΚΟΡΙΝΘΙΩΝ</v>
      </c>
      <c r="G13" s="7" t="s">
        <v>480</v>
      </c>
      <c r="H13" s="5" t="s">
        <v>445</v>
      </c>
      <c r="I13" s="298">
        <f>J$11</f>
        <v>1</v>
      </c>
      <c r="J13" s="187">
        <v>0.85799999999999998</v>
      </c>
      <c r="K13" s="270">
        <f t="shared" si="2"/>
        <v>0.86</v>
      </c>
      <c r="L13" s="240">
        <f t="shared" si="8"/>
        <v>0</v>
      </c>
      <c r="N13" s="100" t="str">
        <f t="shared" si="3"/>
        <v/>
      </c>
      <c r="O13" s="108" t="str">
        <f>IF(J11&lt;&gt;"",CONCATENATE(IF(AND(ISNUMBER(J13)=FALSE),"Η Τιμή (Mbps) πρέπει να είναι αριθμός.",IF(J13&lt;0,"  |  Η Τιμή (Mbps) πρέπει να είναι θετικός αριθμός","")),IF(AND(J13&lt;&gt;"",F13=""),"   |   Το ΤΚ στο οποίο πραγματοποιήθηκαν μετρήσεις πρέπει να συμπληρωθεί",""),IF(J13&lt;J17,"  |  Η τιμή του 5ου εκατοστημορίου πρέπει να είναι μικρότερη  της τιμής του 95ου εκατοστημορίου","")),"")</f>
        <v/>
      </c>
    </row>
    <row r="14" spans="1:15" ht="30.75" customHeight="1" x14ac:dyDescent="0.25">
      <c r="A14" s="13" t="str">
        <f t="shared" si="10"/>
        <v>Β01</v>
      </c>
      <c r="B14" s="14" t="str">
        <f t="shared" si="0"/>
        <v>CYTA</v>
      </c>
      <c r="C14" s="14" t="str">
        <f t="shared" si="11"/>
        <v>Άμεση</v>
      </c>
      <c r="D14" s="218" t="str">
        <f t="shared" si="12"/>
        <v>14446,14370,14426,14126,14356,14250,14158,14174,14402,14540,14228</v>
      </c>
      <c r="E14" s="218" t="str">
        <f t="shared" si="13"/>
        <v>Σαλαμίνας,Πέλλας,Πυλαίας - Χορτιάτη,Ηρακλείου,Ορεστίδος,Λαρισαίων,Ιωαννιτών,Καβάλας,Πατρέων,Χαλκιδέων,Κορινθίων</v>
      </c>
      <c r="F14" s="49" t="str">
        <f t="shared" si="9"/>
        <v>ΑΤΤΙΚΗΣ - ΣΑΛΑΜΙΝΟΣ,ΚΕΝΤΡΙΚΗΣ ΜΑΚΕΔΟΝΙΑΣ - ΠΕΛΛΑΣ,ΚΕΝΤΡΙΚΗΣ ΜΑΚΕΔΟΝΙΑΣ - ΠΥΛΑΙΑΣ – ΧΟΡΤΙΑΤΗ,ΚΡΗΤΗΣ - ΗΡΑΚΛΕΙΟΥ,ΔΥΤΙΚΗΣ ΜΑΚΕΔΟΝΙΑΣ - ΟΡΕΣΤΙΔΟΣ,ΘΕΣΣΑΛΙΑΣ - ΛΑΡΙΣΑΙΩΝ,ΗΠΕΙΡΟΥ - ΙΩΑΝΝΙΤΩΝ,ΑΝΑΤΟΛΙΚΗΣ ΜΑΚΕΔΟΝΙΑΣ ΚΑΙ ΘΡΑΚΗΣ - ΚΑΒΑΛΑΣ,ΔΥΤΙΚΗΣ ΕΛΛΑΔΑΣ - ΠΑΤΡΕΩΝ,ΣΤΕΡΕΑΣ ΕΛΛΑΔΑΣ - ΛΑΜΙΕΩΝ,ΠΕΛΟΠΟΝΝΗΣΟΥ - ΚΟΡΙΝΘΙΩΝ</v>
      </c>
      <c r="G14" s="7" t="s">
        <v>480</v>
      </c>
      <c r="H14" s="5" t="s">
        <v>446</v>
      </c>
      <c r="I14" s="300">
        <f>J$12</f>
        <v>24</v>
      </c>
      <c r="J14" s="187">
        <v>20.417999999999999</v>
      </c>
      <c r="K14" s="270">
        <f t="shared" si="2"/>
        <v>20.420000000000002</v>
      </c>
      <c r="L14" s="240">
        <f t="shared" si="8"/>
        <v>0</v>
      </c>
      <c r="N14" s="100" t="str">
        <f t="shared" si="3"/>
        <v/>
      </c>
      <c r="O14" s="108" t="str">
        <f>IF(J12&lt;&gt;"",CONCATENATE(IF(AND(ISNUMBER(J14)=FALSE),"Η Τιμή (Mbps) πρέπει να είναι αριθμός.",IF(J14&lt;0,"  |  Η Τιμή (Mbps) πρέπει να είναι θετικός αριθμός","")),IF(AND(J14&lt;&gt;"",F14=""),"   |   Το ΤΚ στο οποίο πραγματοποιήθηκαν μετρήσεις πρέπει να συμπληρωθεί",""),IF(J14&lt;J18,"  |  Η τιμή του 5ου εκατοστημορίου πρέπει να είναι μικρότερη  της τιμής του 95ου εκατοστημορίου","")),"")</f>
        <v/>
      </c>
    </row>
    <row r="15" spans="1:15" ht="30.75" customHeight="1" x14ac:dyDescent="0.25">
      <c r="A15" s="13" t="str">
        <f t="shared" si="10"/>
        <v>Β01</v>
      </c>
      <c r="B15" s="14" t="str">
        <f t="shared" si="0"/>
        <v>CYTA</v>
      </c>
      <c r="C15" s="14" t="str">
        <f t="shared" si="11"/>
        <v>Άμεση</v>
      </c>
      <c r="D15" s="218" t="str">
        <f t="shared" si="12"/>
        <v>14446,14370,14426,14126,14356,14250,14158,14174,14402,14540,14228</v>
      </c>
      <c r="E15" s="218" t="str">
        <f t="shared" si="13"/>
        <v>Σαλαμίνας,Πέλλας,Πυλαίας - Χορτιάτη,Ηρακλείου,Ορεστίδος,Λαρισαίων,Ιωαννιτών,Καβάλας,Πατρέων,Χαλκιδέων,Κορινθίων</v>
      </c>
      <c r="F15" s="49" t="str">
        <f t="shared" si="9"/>
        <v>ΑΤΤΙΚΗΣ - ΣΑΛΑΜΙΝΟΣ,ΚΕΝΤΡΙΚΗΣ ΜΑΚΕΔΟΝΙΑΣ - ΠΕΛΛΑΣ,ΚΕΝΤΡΙΚΗΣ ΜΑΚΕΔΟΝΙΑΣ - ΠΥΛΑΙΑΣ – ΧΟΡΤΙΑΤΗ,ΚΡΗΤΗΣ - ΗΡΑΚΛΕΙΟΥ,ΔΥΤΙΚΗΣ ΜΑΚΕΔΟΝΙΑΣ - ΟΡΕΣΤΙΔΟΣ,ΘΕΣΣΑΛΙΑΣ - ΛΑΡΙΣΑΙΩΝ,ΗΠΕΙΡΟΥ - ΙΩΑΝΝΙΤΩΝ,ΑΝΑΤΟΛΙΚΗΣ ΜΑΚΕΔΟΝΙΑΣ ΚΑΙ ΘΡΑΚΗΣ - ΚΑΒΑΛΑΣ,ΔΥΤΙΚΗΣ ΕΛΛΑΔΑΣ - ΠΑΤΡΕΩΝ,ΣΤΕΡΕΑΣ ΕΛΛΑΔΑΣ - ΛΑΜΙΕΩΝ,ΠΕΛΟΠΟΝΝΗΣΟΥ - ΚΟΡΙΝΘΙΩΝ</v>
      </c>
      <c r="G15" s="7" t="s">
        <v>441</v>
      </c>
      <c r="H15" s="5" t="s">
        <v>445</v>
      </c>
      <c r="I15" s="298">
        <f>J$11</f>
        <v>1</v>
      </c>
      <c r="J15" s="187">
        <v>0.79700000000000004</v>
      </c>
      <c r="K15" s="270">
        <f t="shared" si="2"/>
        <v>0.8</v>
      </c>
      <c r="L15" s="240">
        <f t="shared" si="8"/>
        <v>0</v>
      </c>
      <c r="N15" s="100" t="str">
        <f t="shared" si="3"/>
        <v/>
      </c>
      <c r="O15" s="108" t="str">
        <f>IF(J11&lt;&gt;"",CONCATENATE(IF(AND(ISNUMBER(J15)=FALSE),"Η Τιμή (Mbps) πρέπει να είναι αριθμός.",IF(J15&lt;0,"  |  Η Τιμή (Mbps) πρέπει να είναι θετικός αριθμός","")),IF(AND(J15&lt;&gt;"",F15=""),"   |   Το ΤΚ στο οποίο πραγματοποιήθηκαν μετρήσεις πρέπει να συμπληρωθεί",""),IF(OR(J13&lt;J15,J15&lt;J17),"  |  Η μέση τιμή πρέπει να είναι μεταξύ της τιμής του 5ου και της τιμής του 95ου εκατοστημορίου","")),"")</f>
        <v/>
      </c>
    </row>
    <row r="16" spans="1:15" ht="30.75" customHeight="1" x14ac:dyDescent="0.25">
      <c r="A16" s="13" t="str">
        <f t="shared" si="10"/>
        <v>Β01</v>
      </c>
      <c r="B16" s="14" t="str">
        <f t="shared" si="0"/>
        <v>CYTA</v>
      </c>
      <c r="C16" s="14" t="str">
        <f t="shared" si="11"/>
        <v>Άμεση</v>
      </c>
      <c r="D16" s="218" t="str">
        <f t="shared" si="12"/>
        <v>14446,14370,14426,14126,14356,14250,14158,14174,14402,14540,14228</v>
      </c>
      <c r="E16" s="218" t="str">
        <f t="shared" si="13"/>
        <v>Σαλαμίνας,Πέλλας,Πυλαίας - Χορτιάτη,Ηρακλείου,Ορεστίδος,Λαρισαίων,Ιωαννιτών,Καβάλας,Πατρέων,Χαλκιδέων,Κορινθίων</v>
      </c>
      <c r="F16" s="49" t="str">
        <f t="shared" si="9"/>
        <v>ΑΤΤΙΚΗΣ - ΣΑΛΑΜΙΝΟΣ,ΚΕΝΤΡΙΚΗΣ ΜΑΚΕΔΟΝΙΑΣ - ΠΕΛΛΑΣ,ΚΕΝΤΡΙΚΗΣ ΜΑΚΕΔΟΝΙΑΣ - ΠΥΛΑΙΑΣ – ΧΟΡΤΙΑΤΗ,ΚΡΗΤΗΣ - ΗΡΑΚΛΕΙΟΥ,ΔΥΤΙΚΗΣ ΜΑΚΕΔΟΝΙΑΣ - ΟΡΕΣΤΙΔΟΣ,ΘΕΣΣΑΛΙΑΣ - ΛΑΡΙΣΑΙΩΝ,ΗΠΕΙΡΟΥ - ΙΩΑΝΝΙΤΩΝ,ΑΝΑΤΟΛΙΚΗΣ ΜΑΚΕΔΟΝΙΑΣ ΚΑΙ ΘΡΑΚΗΣ - ΚΑΒΑΛΑΣ,ΔΥΤΙΚΗΣ ΕΛΛΑΔΑΣ - ΠΑΤΡΕΩΝ,ΣΤΕΡΕΑΣ ΕΛΛΑΔΑΣ - ΛΑΜΙΕΩΝ,ΠΕΛΟΠΟΝΝΗΣΟΥ - ΚΟΡΙΝΘΙΩΝ</v>
      </c>
      <c r="G16" s="7" t="s">
        <v>441</v>
      </c>
      <c r="H16" s="5" t="s">
        <v>446</v>
      </c>
      <c r="I16" s="300">
        <f>J$12</f>
        <v>24</v>
      </c>
      <c r="J16" s="187">
        <v>19.891999999999999</v>
      </c>
      <c r="K16" s="270">
        <f t="shared" si="2"/>
        <v>19.89</v>
      </c>
      <c r="L16" s="240">
        <f t="shared" si="8"/>
        <v>0</v>
      </c>
      <c r="N16" s="100" t="str">
        <f t="shared" si="3"/>
        <v/>
      </c>
      <c r="O16" s="108" t="str">
        <f>IF(J12&lt;&gt;"",CONCATENATE(IF(AND(ISNUMBER(J16)=FALSE),"Η Τιμή (Mbps) πρέπει να είναι αριθμός.",IF(J16&lt;0,"  |  Η Τιμή (Mbps) πρέπει να είναι θετικός αριθμός","")),IF(AND(J16&lt;&gt;"",F16=""),"   |   Το ΤΚ στο οποίο πραγματοποιήθηκαν μετρήσεις πρέπει να συμπληρωθεί",""),IF(OR(J14&lt;J16,J16&lt;J18),"  |  Η μέση τιμή πρέπει να είναι μεταξύ της τιμής του 5ου και της τιμής του 95ου εκατοστημορίου","")),"")</f>
        <v/>
      </c>
    </row>
    <row r="17" spans="1:15" ht="30.75" customHeight="1" x14ac:dyDescent="0.25">
      <c r="A17" s="13" t="str">
        <f t="shared" si="10"/>
        <v>Β01</v>
      </c>
      <c r="B17" s="14" t="str">
        <f t="shared" si="0"/>
        <v>CYTA</v>
      </c>
      <c r="C17" s="14" t="str">
        <f t="shared" si="11"/>
        <v>Άμεση</v>
      </c>
      <c r="D17" s="218" t="str">
        <f t="shared" si="12"/>
        <v>14446,14370,14426,14126,14356,14250,14158,14174,14402,14540,14228</v>
      </c>
      <c r="E17" s="218" t="str">
        <f t="shared" si="13"/>
        <v>Σαλαμίνας,Πέλλας,Πυλαίας - Χορτιάτη,Ηρακλείου,Ορεστίδος,Λαρισαίων,Ιωαννιτών,Καβάλας,Πατρέων,Χαλκιδέων,Κορινθίων</v>
      </c>
      <c r="F17" s="49" t="str">
        <f t="shared" si="9"/>
        <v>ΑΤΤΙΚΗΣ - ΣΑΛΑΜΙΝΟΣ,ΚΕΝΤΡΙΚΗΣ ΜΑΚΕΔΟΝΙΑΣ - ΠΕΛΛΑΣ,ΚΕΝΤΡΙΚΗΣ ΜΑΚΕΔΟΝΙΑΣ - ΠΥΛΑΙΑΣ – ΧΟΡΤΙΑΤΗ,ΚΡΗΤΗΣ - ΗΡΑΚΛΕΙΟΥ,ΔΥΤΙΚΗΣ ΜΑΚΕΔΟΝΙΑΣ - ΟΡΕΣΤΙΔΟΣ,ΘΕΣΣΑΛΙΑΣ - ΛΑΡΙΣΑΙΩΝ,ΗΠΕΙΡΟΥ - ΙΩΑΝΝΙΤΩΝ,ΑΝΑΤΟΛΙΚΗΣ ΜΑΚΕΔΟΝΙΑΣ ΚΑΙ ΘΡΑΚΗΣ - ΚΑΒΑΛΑΣ,ΔΥΤΙΚΗΣ ΕΛΛΑΔΑΣ - ΠΑΤΡΕΩΝ,ΣΤΕΡΕΑΣ ΕΛΛΑΔΑΣ - ΛΑΜΙΕΩΝ,ΠΕΛΟΠΟΝΝΗΣΟΥ - ΚΟΡΙΝΘΙΩΝ</v>
      </c>
      <c r="G17" s="7" t="s">
        <v>481</v>
      </c>
      <c r="H17" s="5" t="s">
        <v>445</v>
      </c>
      <c r="I17" s="301">
        <f>J$11</f>
        <v>1</v>
      </c>
      <c r="J17" s="187">
        <v>0.71399999999999997</v>
      </c>
      <c r="K17" s="270">
        <f t="shared" si="2"/>
        <v>0.71</v>
      </c>
      <c r="L17" s="240">
        <f t="shared" si="8"/>
        <v>0</v>
      </c>
      <c r="N17" s="100" t="str">
        <f t="shared" si="3"/>
        <v/>
      </c>
      <c r="O17" s="108" t="str">
        <f>IF(J11&lt;&gt;"",CONCATENATE(IF(AND(ISNUMBER(J17)=FALSE),"Η Τιμή (Mbps) πρέπει να είναι αριθμός.",IF(J17&lt;0,"  |  Η Τιμή (Mbps) πρέπει να είναι θετικός αριθμός","")),IF(AND(J17&lt;&gt;"",F17=""),"   |   Το ΤΚ στο οποίο πραγματοποιήθηκαν μετρήσεις πρέπει να συμπληρωθεί",""),IF(J13&lt;J17,"  |  Η τιμή του 5ου εκατοστημορίου πρέπει να είναι μικρότερη  της τιμής του 95ου εκατοστημορίου","")),"")</f>
        <v/>
      </c>
    </row>
    <row r="18" spans="1:15" ht="30.75" customHeight="1" thickBot="1" x14ac:dyDescent="0.3">
      <c r="A18" s="15" t="str">
        <f t="shared" si="10"/>
        <v>Β01</v>
      </c>
      <c r="B18" s="16" t="str">
        <f t="shared" si="0"/>
        <v>CYTA</v>
      </c>
      <c r="C18" s="16" t="str">
        <f t="shared" si="11"/>
        <v>Άμεση</v>
      </c>
      <c r="D18" s="222" t="str">
        <f t="shared" si="12"/>
        <v>14446,14370,14426,14126,14356,14250,14158,14174,14402,14540,14228</v>
      </c>
      <c r="E18" s="222" t="str">
        <f t="shared" si="13"/>
        <v>Σαλαμίνας,Πέλλας,Πυλαίας - Χορτιάτη,Ηρακλείου,Ορεστίδος,Λαρισαίων,Ιωαννιτών,Καβάλας,Πατρέων,Χαλκιδέων,Κορινθίων</v>
      </c>
      <c r="F18" s="48" t="str">
        <f t="shared" si="9"/>
        <v>ΑΤΤΙΚΗΣ - ΣΑΛΑΜΙΝΟΣ,ΚΕΝΤΡΙΚΗΣ ΜΑΚΕΔΟΝΙΑΣ - ΠΕΛΛΑΣ,ΚΕΝΤΡΙΚΗΣ ΜΑΚΕΔΟΝΙΑΣ - ΠΥΛΑΙΑΣ – ΧΟΡΤΙΑΤΗ,ΚΡΗΤΗΣ - ΗΡΑΚΛΕΙΟΥ,ΔΥΤΙΚΗΣ ΜΑΚΕΔΟΝΙΑΣ - ΟΡΕΣΤΙΔΟΣ,ΘΕΣΣΑΛΙΑΣ - ΛΑΡΙΣΑΙΩΝ,ΗΠΕΙΡΟΥ - ΙΩΑΝΝΙΤΩΝ,ΑΝΑΤΟΛΙΚΗΣ ΜΑΚΕΔΟΝΙΑΣ ΚΑΙ ΘΡΑΚΗΣ - ΚΑΒΑΛΑΣ,ΔΥΤΙΚΗΣ ΕΛΛΑΔΑΣ - ΠΑΤΡΕΩΝ,ΣΤΕΡΕΑΣ ΕΛΛΑΔΑΣ - ΛΑΜΙΕΩΝ,ΠΕΛΟΠΟΝΝΗΣΟΥ - ΚΟΡΙΝΘΙΩΝ</v>
      </c>
      <c r="G18" s="6" t="s">
        <v>481</v>
      </c>
      <c r="H18" s="12" t="s">
        <v>446</v>
      </c>
      <c r="I18" s="302">
        <f>J$12</f>
        <v>24</v>
      </c>
      <c r="J18" s="188">
        <v>19.452000000000002</v>
      </c>
      <c r="K18" s="270">
        <f t="shared" si="2"/>
        <v>19.45</v>
      </c>
      <c r="L18" s="241">
        <f t="shared" si="8"/>
        <v>0</v>
      </c>
      <c r="N18" s="101" t="str">
        <f t="shared" si="3"/>
        <v/>
      </c>
      <c r="O18" s="109" t="str">
        <f>IF(J12&lt;&gt;"",CONCATENATE(IF(AND(ISNUMBER(J18)=FALSE),"Η Τιμή (Mbps) πρέπει να είναι αριθμός.",IF(J18&lt;0,"  |  Η Τιμή (Mbps) πρέπει να είναι θετικός αριθμός","")),IF(AND(J18&lt;&gt;"",F18=""),"   |   Το ΤΚ στο οποίο πραγματοποιήθηκαν μετρήσεις πρέπει να συμπληρωθεί",""),IF(J14&lt;J18,"  |  Η τιμή του 5ου εκατοστημορίου πρέπει να είναι μικρότερη  της τιμής του 95ου εκατοστημορίου","")),"")</f>
        <v/>
      </c>
    </row>
  </sheetData>
  <sheetProtection password="ECDD" sheet="1" objects="1" scenarios="1" formatColumns="0" formatRows="0" selectLockedCells="1"/>
  <conditionalFormatting sqref="N3">
    <cfRule type="cellIs" dxfId="13" priority="6" operator="equal">
      <formula>"ΣΦΑΛΜΑ"</formula>
    </cfRule>
  </conditionalFormatting>
  <conditionalFormatting sqref="N4:N18">
    <cfRule type="cellIs" dxfId="12" priority="5" operator="equal">
      <formula>"ΣΦΑΛΜΑ"</formula>
    </cfRule>
  </conditionalFormatting>
  <conditionalFormatting sqref="J8">
    <cfRule type="cellIs" dxfId="11" priority="3" operator="greaterThan">
      <formula>$J$6</formula>
    </cfRule>
    <cfRule type="cellIs" dxfId="10" priority="4" operator="lessThan">
      <formula>$J$10</formula>
    </cfRule>
  </conditionalFormatting>
  <conditionalFormatting sqref="J7">
    <cfRule type="cellIs" dxfId="9" priority="1" operator="greaterThan">
      <formula>$J$5</formula>
    </cfRule>
    <cfRule type="cellIs" dxfId="8" priority="2" operator="lessThan">
      <formula>$J$9</formula>
    </cfRule>
  </conditionalFormatting>
  <dataValidations count="5">
    <dataValidation type="list" allowBlank="1" showInputMessage="1" showErrorMessage="1" sqref="C3 C11">
      <formula1>ServiceType</formula1>
    </dataValidation>
    <dataValidation type="list" allowBlank="1" showInputMessage="1" showErrorMessage="1" sqref="G3:G18">
      <formula1>SpeedValue</formula1>
    </dataValidation>
    <dataValidation type="list" allowBlank="1" showInputMessage="1" showErrorMessage="1" sqref="H3:H18">
      <formula1>Direction_</formula1>
    </dataValidation>
    <dataValidation type="list" allowBlank="1" showInputMessage="1" showErrorMessage="1" sqref="J3 J11">
      <formula1>maxUp</formula1>
    </dataValidation>
    <dataValidation type="list" allowBlank="1" showInputMessage="1" showErrorMessage="1" sqref="J4 J12">
      <formula1>maxDown</formula1>
    </dataValidation>
  </dataValidation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8"/>
  <sheetViews>
    <sheetView topLeftCell="A2" workbookViewId="0">
      <selection activeCell="H8" sqref="H8"/>
    </sheetView>
  </sheetViews>
  <sheetFormatPr defaultColWidth="0" defaultRowHeight="15" zeroHeight="1" x14ac:dyDescent="0.25"/>
  <cols>
    <col min="1" max="1" width="50" style="174" customWidth="1"/>
    <col min="2" max="5" width="23" style="174" hidden="1" customWidth="1"/>
    <col min="6" max="6" width="42.85546875" style="174" customWidth="1"/>
    <col min="7" max="7" width="23.28515625" style="174" customWidth="1"/>
    <col min="8" max="8" width="23.28515625" style="174" bestFit="1" customWidth="1"/>
    <col min="9" max="9" width="23.28515625" style="174" hidden="1" customWidth="1"/>
    <col min="10" max="10" width="23.28515625" style="174" customWidth="1"/>
    <col min="11" max="11" width="23.28515625" style="174" hidden="1" customWidth="1"/>
    <col min="12" max="12" width="23.28515625" style="174" customWidth="1"/>
    <col min="13" max="13" width="6.7109375" style="174" customWidth="1"/>
    <col min="14" max="14" width="11.85546875" style="174" customWidth="1"/>
    <col min="15" max="15" width="77" style="174" customWidth="1"/>
    <col min="16" max="16" width="0" style="174" hidden="1" customWidth="1"/>
    <col min="17" max="16384" width="9.140625" style="174" hidden="1"/>
  </cols>
  <sheetData>
    <row r="1" spans="1:15" ht="15.75" hidden="1" thickBot="1" x14ac:dyDescent="0.3">
      <c r="A1" t="s">
        <v>502</v>
      </c>
      <c r="B1" t="s">
        <v>501</v>
      </c>
      <c r="C1" s="83" t="s">
        <v>506</v>
      </c>
      <c r="D1" s="2" t="s">
        <v>900</v>
      </c>
      <c r="E1" s="2" t="s">
        <v>901</v>
      </c>
      <c r="F1" s="2" t="s">
        <v>513</v>
      </c>
      <c r="G1" s="2" t="s">
        <v>928</v>
      </c>
      <c r="H1" s="2" t="s">
        <v>516</v>
      </c>
      <c r="I1" s="2" t="s">
        <v>511</v>
      </c>
      <c r="J1" s="2" t="s">
        <v>516</v>
      </c>
      <c r="K1" s="2" t="s">
        <v>512</v>
      </c>
      <c r="L1" s="2" t="s">
        <v>509</v>
      </c>
      <c r="N1" s="65" t="s">
        <v>510</v>
      </c>
      <c r="O1" s="65" t="s">
        <v>510</v>
      </c>
    </row>
    <row r="2" spans="1:15" ht="45.75" thickBot="1" x14ac:dyDescent="0.3">
      <c r="A2" s="3" t="s">
        <v>422</v>
      </c>
      <c r="B2" s="4" t="s">
        <v>28</v>
      </c>
      <c r="C2" s="4" t="s">
        <v>545</v>
      </c>
      <c r="D2" s="4"/>
      <c r="E2" s="4"/>
      <c r="F2" s="4" t="s">
        <v>453</v>
      </c>
      <c r="G2" s="4" t="s">
        <v>443</v>
      </c>
      <c r="H2" s="4" t="s">
        <v>546</v>
      </c>
      <c r="I2" s="4" t="s">
        <v>546</v>
      </c>
      <c r="J2" s="4" t="s">
        <v>547</v>
      </c>
      <c r="K2" s="116" t="s">
        <v>547</v>
      </c>
      <c r="L2" s="22" t="s">
        <v>421</v>
      </c>
      <c r="N2" s="46" t="s">
        <v>452</v>
      </c>
      <c r="O2" s="107" t="s">
        <v>550</v>
      </c>
    </row>
    <row r="3" spans="1:15" ht="31.5" customHeight="1" thickTop="1" x14ac:dyDescent="0.25">
      <c r="A3" s="39" t="s">
        <v>454</v>
      </c>
      <c r="B3" s="71" t="str">
        <f>ΓΕΝΙΚΑ!C4</f>
        <v>CYTA</v>
      </c>
      <c r="C3" s="111" t="s">
        <v>552</v>
      </c>
      <c r="D3" s="111">
        <f>IF(N3="",IF(ΓΕΝΙΚΑ!$B$17="ΝΑΙ",15300,""),"")</f>
        <v>15300</v>
      </c>
      <c r="E3" s="111" t="str">
        <f>IF(ΓΕΝΙΚΑ!$B$17="ΝΑΙ","ΠΑΝΕΛΛΑΔΙΚΑ","")</f>
        <v>ΠΑΝΕΛΛΑΔΙΚΑ</v>
      </c>
      <c r="F3" s="18" t="s">
        <v>455</v>
      </c>
      <c r="G3" s="18" t="s">
        <v>445</v>
      </c>
      <c r="H3" s="112">
        <v>20480</v>
      </c>
      <c r="I3" s="304">
        <f>IF(ISNUMBER(H3),ROUND(H3,0),"")</f>
        <v>20480</v>
      </c>
      <c r="J3" s="115">
        <v>273265</v>
      </c>
      <c r="K3" s="304">
        <f>IF(ISNUMBER(J$3),ROUND(J$3,0),"")</f>
        <v>273265</v>
      </c>
      <c r="L3" s="248"/>
      <c r="N3" s="98" t="str">
        <f>IF(O3="","","ΣΦΑΛΜΑ")</f>
        <v/>
      </c>
      <c r="O3" s="99" t="str">
        <f>CONCATENATE(IF(J3="","",IF(ISNUMBER(J3)=FALSE,"  |  Το μέσο πλήθος τελικών χρηστών πρέπει να είναι αριθμός.",IF(J3&lt;0,"   |   Το μέσο πλήθος τελικών χρηστών πρέπει να είναι θετικός αριθμός",""))),IF(AND(ISNUMBER(H3)=FALSE),"   |    Η μέση χωρητικότητα (Mbps) πρέπει να είναι αριθμός.",IF(H3&lt;0,"   |   Η μέση χωρητικότητα (Mbps) πρέπει να είναι θετικός αριθμός","")))</f>
        <v/>
      </c>
    </row>
    <row r="4" spans="1:15" ht="31.5" customHeight="1" x14ac:dyDescent="0.25">
      <c r="A4" s="41" t="str">
        <f t="shared" ref="A4:B4" si="0">A3</f>
        <v>B02</v>
      </c>
      <c r="B4" s="69" t="str">
        <f t="shared" si="0"/>
        <v>CYTA</v>
      </c>
      <c r="C4" s="70" t="s">
        <v>552</v>
      </c>
      <c r="D4" s="111">
        <f>IF(N4="",IF(ΓΕΝΙΚΑ!$B$17="ΝΑΙ",15300,""),"")</f>
        <v>15300</v>
      </c>
      <c r="E4" s="111" t="str">
        <f>IF(ΓΕΝΙΚΑ!$B$17="ΝΑΙ","ΠΑΝΕΛΛΑΔΙΚΑ","")</f>
        <v>ΠΑΝΕΛΛΑΔΙΚΑ</v>
      </c>
      <c r="F4" s="67" t="s">
        <v>455</v>
      </c>
      <c r="G4" s="19" t="s">
        <v>446</v>
      </c>
      <c r="H4" s="113">
        <v>20480</v>
      </c>
      <c r="I4" s="304">
        <f t="shared" ref="I4:I8" si="1">IF(ISNUMBER(H4),ROUND(H4,0),"")</f>
        <v>20480</v>
      </c>
      <c r="J4" s="281">
        <f>$J$3</f>
        <v>273265</v>
      </c>
      <c r="K4" s="304">
        <f t="shared" ref="K4:K8" si="2">IF(ISNUMBER(J$3),ROUND(J$3,0),"")</f>
        <v>273265</v>
      </c>
      <c r="L4" s="242">
        <f>L$3</f>
        <v>0</v>
      </c>
      <c r="N4" s="100" t="str">
        <f t="shared" ref="N4:N8" si="3">IF(O4="","","ΣΦΑΛΜΑ")</f>
        <v/>
      </c>
      <c r="O4" s="99" t="str">
        <f>CONCATENATE(IF(OR(NOT(ISNUMBER(J4)),J4=""),"Το μέσο πλήθος τελικών χρηστών πρέπει να είναι αριθμός.",IF(J4&lt;0,"   |   Το μέσο πλήθος τελικών χρηστών πρέπει να είναι θετικός αριθμός","")),IF(OR(NOT(ISNUMBER(H4)),H4=""),"   |    Η μέση χωρητικότητα (Mbps) πρέπει να είναι αριθμός.",IF(H4&lt;0,"   |   Η μέση χωρητικότητα (Mbps) πρέπει να είναι θετικός αριθμός","")))</f>
        <v/>
      </c>
    </row>
    <row r="5" spans="1:15" ht="31.5" customHeight="1" x14ac:dyDescent="0.25">
      <c r="A5" s="41" t="str">
        <f>A3</f>
        <v>B02</v>
      </c>
      <c r="B5" s="69" t="str">
        <f>B3</f>
        <v>CYTA</v>
      </c>
      <c r="C5" s="70" t="s">
        <v>552</v>
      </c>
      <c r="D5" s="111">
        <f>IF(N5="",IF(ΓΕΝΙΚΑ!$B$17="ΝΑΙ",15300,""),"")</f>
        <v>15300</v>
      </c>
      <c r="E5" s="111" t="str">
        <f>IF(ΓΕΝΙΚΑ!$B$17="ΝΑΙ","ΠΑΝΕΛΛΑΔΙΚΑ","")</f>
        <v>ΠΑΝΕΛΛΑΔΙΚΑ</v>
      </c>
      <c r="F5" s="67" t="s">
        <v>456</v>
      </c>
      <c r="G5" s="19" t="s">
        <v>445</v>
      </c>
      <c r="H5" s="113">
        <v>63488</v>
      </c>
      <c r="I5" s="304">
        <f t="shared" si="1"/>
        <v>63488</v>
      </c>
      <c r="J5" s="66">
        <f t="shared" ref="J5:J8" si="4">$J$3</f>
        <v>273265</v>
      </c>
      <c r="K5" s="304">
        <f t="shared" si="2"/>
        <v>273265</v>
      </c>
      <c r="L5" s="242">
        <f t="shared" ref="L5:L8" si="5">L$3</f>
        <v>0</v>
      </c>
      <c r="N5" s="100" t="str">
        <f t="shared" si="3"/>
        <v/>
      </c>
      <c r="O5" s="99" t="str">
        <f t="shared" ref="O5:O8" si="6">CONCATENATE(IF(OR(NOT(ISNUMBER(J5)),J5=""),"Το μέσο πλήθος τελικών χρηστών πρέπει να είναι αριθμός.",IF(J5&lt;0,"   |   Το μέσο πλήθος τελικών χρηστών πρέπει να είναι θετικός αριθμός","")),IF(OR(NOT(ISNUMBER(H5)),H5=""),"   |    Η μέση χωρητικότητα (Mbps) πρέπει να είναι αριθμός.",IF(H5&lt;0,"   |   Η μέση χωρητικότητα (Mbps) πρέπει να είναι θετικός αριθμός","")))</f>
        <v/>
      </c>
    </row>
    <row r="6" spans="1:15" ht="31.5" customHeight="1" x14ac:dyDescent="0.25">
      <c r="A6" s="41" t="str">
        <f>A3</f>
        <v>B02</v>
      </c>
      <c r="B6" s="69" t="str">
        <f>B3</f>
        <v>CYTA</v>
      </c>
      <c r="C6" s="70" t="s">
        <v>552</v>
      </c>
      <c r="D6" s="111">
        <f>IF(N6="",IF(ΓΕΝΙΚΑ!$B$17="ΝΑΙ",15300,""),"")</f>
        <v>15300</v>
      </c>
      <c r="E6" s="111" t="str">
        <f>IF(ΓΕΝΙΚΑ!$B$17="ΝΑΙ","ΠΑΝΕΛΛΑΔΙΚΑ","")</f>
        <v>ΠΑΝΕΛΛΑΔΙΚΑ</v>
      </c>
      <c r="F6" s="67" t="s">
        <v>456</v>
      </c>
      <c r="G6" s="19" t="s">
        <v>446</v>
      </c>
      <c r="H6" s="113">
        <v>63488</v>
      </c>
      <c r="I6" s="304">
        <f t="shared" si="1"/>
        <v>63488</v>
      </c>
      <c r="J6" s="66">
        <f t="shared" si="4"/>
        <v>273265</v>
      </c>
      <c r="K6" s="304">
        <f t="shared" si="2"/>
        <v>273265</v>
      </c>
      <c r="L6" s="242">
        <f t="shared" si="5"/>
        <v>0</v>
      </c>
      <c r="N6" s="100" t="str">
        <f t="shared" si="3"/>
        <v/>
      </c>
      <c r="O6" s="99" t="str">
        <f t="shared" si="6"/>
        <v/>
      </c>
    </row>
    <row r="7" spans="1:15" ht="31.5" customHeight="1" x14ac:dyDescent="0.25">
      <c r="A7" s="41" t="str">
        <f>A3</f>
        <v>B02</v>
      </c>
      <c r="B7" s="69" t="str">
        <f>B3</f>
        <v>CYTA</v>
      </c>
      <c r="C7" s="70" t="s">
        <v>552</v>
      </c>
      <c r="D7" s="111">
        <f>IF(N7="",IF(ΓΕΝΙΚΑ!$B$17="ΝΑΙ",15300,""),"")</f>
        <v>15300</v>
      </c>
      <c r="E7" s="111" t="str">
        <f>IF(ΓΕΝΙΚΑ!$B$17="ΝΑΙ","ΠΑΝΕΛΛΑΔΙΚΑ","")</f>
        <v>ΠΑΝΕΛΛΑΔΙΚΑ</v>
      </c>
      <c r="F7" s="67" t="s">
        <v>457</v>
      </c>
      <c r="G7" s="19" t="s">
        <v>445</v>
      </c>
      <c r="H7" s="113">
        <v>255274</v>
      </c>
      <c r="I7" s="304">
        <f t="shared" si="1"/>
        <v>255274</v>
      </c>
      <c r="J7" s="66">
        <f t="shared" si="4"/>
        <v>273265</v>
      </c>
      <c r="K7" s="304">
        <f t="shared" si="2"/>
        <v>273265</v>
      </c>
      <c r="L7" s="242">
        <f t="shared" si="5"/>
        <v>0</v>
      </c>
      <c r="N7" s="100" t="str">
        <f t="shared" si="3"/>
        <v/>
      </c>
      <c r="O7" s="99" t="str">
        <f t="shared" si="6"/>
        <v/>
      </c>
    </row>
    <row r="8" spans="1:15" ht="31.5" customHeight="1" thickBot="1" x14ac:dyDescent="0.3">
      <c r="A8" s="42" t="str">
        <f>A3</f>
        <v>B02</v>
      </c>
      <c r="B8" s="72" t="str">
        <f>B3</f>
        <v>CYTA</v>
      </c>
      <c r="C8" s="73" t="s">
        <v>552</v>
      </c>
      <c r="D8" s="111">
        <f>IF(N8="",IF(ΓΕΝΙΚΑ!$B$17="ΝΑΙ",15300,""),"")</f>
        <v>15300</v>
      </c>
      <c r="E8" s="111" t="str">
        <f>IF(ΓΕΝΙΚΑ!$B$17="ΝΑΙ","ΠΑΝΕΛΛΑΔΙΚΑ","")</f>
        <v>ΠΑΝΕΛΛΑΔΙΚΑ</v>
      </c>
      <c r="F8" s="68" t="s">
        <v>457</v>
      </c>
      <c r="G8" s="20" t="s">
        <v>446</v>
      </c>
      <c r="H8" s="114">
        <v>5985836</v>
      </c>
      <c r="I8" s="304">
        <f t="shared" si="1"/>
        <v>5985836</v>
      </c>
      <c r="J8" s="74">
        <f t="shared" si="4"/>
        <v>273265</v>
      </c>
      <c r="K8" s="304">
        <f t="shared" si="2"/>
        <v>273265</v>
      </c>
      <c r="L8" s="271">
        <f t="shared" si="5"/>
        <v>0</v>
      </c>
      <c r="N8" s="101" t="str">
        <f t="shared" si="3"/>
        <v/>
      </c>
      <c r="O8" s="110" t="str">
        <f t="shared" si="6"/>
        <v/>
      </c>
    </row>
  </sheetData>
  <sheetProtection algorithmName="SHA-512" hashValue="QYYihZkTOFT++lQsOuLqYVnyrw9ie8MeOoSJBtpZHxjV1C5zONNwiR72O9KcmXrHOPgXn1hQZY0p1zEmnmJpug==" saltValue="PyBDXWC4O7FLub30XDO17g==" spinCount="100000" sheet="1" objects="1" scenarios="1" formatColumns="0" formatRows="0" selectLockedCells="1"/>
  <conditionalFormatting sqref="N4:N8">
    <cfRule type="cellIs" dxfId="7" priority="1" operator="equal">
      <formula>"ΣΦΑΛΜΑ"</formula>
    </cfRule>
  </conditionalFormatting>
  <conditionalFormatting sqref="N3">
    <cfRule type="cellIs" dxfId="6" priority="2" operator="equal">
      <formula>"ΣΦΑΛΜΑ"</formula>
    </cfRule>
  </conditionalFormatting>
  <dataValidations disablePrompts="1" count="2">
    <dataValidation type="list" allowBlank="1" showInputMessage="1" showErrorMessage="1" sqref="G3:G8">
      <formula1>Direction</formula1>
    </dataValidation>
    <dataValidation type="list" allowBlank="1" showInputMessage="1" showErrorMessage="1" sqref="F3:F8">
      <formula1>Capacity</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2"/>
  <sheetViews>
    <sheetView topLeftCell="A2" zoomScaleNormal="100" workbookViewId="0">
      <selection activeCell="F6" sqref="F6"/>
    </sheetView>
  </sheetViews>
  <sheetFormatPr defaultColWidth="0" defaultRowHeight="15" zeroHeight="1" x14ac:dyDescent="0.25"/>
  <cols>
    <col min="1" max="1" width="50" style="174" customWidth="1"/>
    <col min="2" max="2" width="23" style="174" hidden="1" customWidth="1"/>
    <col min="3" max="3" width="23" style="174" customWidth="1"/>
    <col min="4" max="4" width="25.140625" style="219" hidden="1" customWidth="1"/>
    <col min="5" max="5" width="40" style="219" hidden="1" customWidth="1"/>
    <col min="6" max="6" width="37.7109375" style="174" customWidth="1"/>
    <col min="7" max="7" width="32.140625" style="259" hidden="1" customWidth="1"/>
    <col min="8" max="8" width="17.28515625" style="174" customWidth="1"/>
    <col min="9" max="9" width="36.140625" style="174" customWidth="1"/>
    <col min="10" max="10" width="24" style="174" hidden="1" customWidth="1"/>
    <col min="11" max="11" width="24" style="174" customWidth="1"/>
    <col min="12" max="12" width="5.42578125" style="174" customWidth="1"/>
    <col min="13" max="13" width="13" style="174" customWidth="1"/>
    <col min="14" max="14" width="82.5703125" style="174" customWidth="1"/>
    <col min="15" max="15" width="0" style="174" hidden="1" customWidth="1"/>
    <col min="16" max="16384" width="9.140625" style="174" hidden="1"/>
  </cols>
  <sheetData>
    <row r="1" spans="1:14" ht="15.75" hidden="1" thickBot="1" x14ac:dyDescent="0.3">
      <c r="A1" t="s">
        <v>502</v>
      </c>
      <c r="B1" t="s">
        <v>501</v>
      </c>
      <c r="C1" s="83" t="s">
        <v>503</v>
      </c>
      <c r="D1" s="216" t="s">
        <v>900</v>
      </c>
      <c r="E1" s="216" t="s">
        <v>901</v>
      </c>
      <c r="F1" s="83" t="s">
        <v>506</v>
      </c>
      <c r="G1" s="83" t="s">
        <v>925</v>
      </c>
      <c r="H1" s="83" t="s">
        <v>514</v>
      </c>
      <c r="I1" s="83" t="s">
        <v>516</v>
      </c>
      <c r="J1" s="83" t="s">
        <v>515</v>
      </c>
      <c r="K1" s="83" t="s">
        <v>509</v>
      </c>
      <c r="M1" t="s">
        <v>516</v>
      </c>
      <c r="N1" t="s">
        <v>516</v>
      </c>
    </row>
    <row r="2" spans="1:14" s="180" customFormat="1" ht="34.5" customHeight="1" thickBot="1" x14ac:dyDescent="0.3">
      <c r="A2" s="3" t="s">
        <v>422</v>
      </c>
      <c r="B2" s="4" t="s">
        <v>28</v>
      </c>
      <c r="C2" s="4" t="s">
        <v>433</v>
      </c>
      <c r="D2" s="217"/>
      <c r="E2" s="217"/>
      <c r="F2" s="4" t="s">
        <v>551</v>
      </c>
      <c r="G2" s="233" t="s">
        <v>924</v>
      </c>
      <c r="H2" s="4" t="s">
        <v>483</v>
      </c>
      <c r="I2" s="106" t="s">
        <v>549</v>
      </c>
      <c r="J2" s="85" t="s">
        <v>459</v>
      </c>
      <c r="K2" s="96" t="s">
        <v>421</v>
      </c>
      <c r="M2" s="103" t="s">
        <v>452</v>
      </c>
      <c r="N2" s="104" t="s">
        <v>550</v>
      </c>
    </row>
    <row r="3" spans="1:14" ht="30" customHeight="1" thickTop="1" x14ac:dyDescent="0.25">
      <c r="A3" s="77" t="s">
        <v>469</v>
      </c>
      <c r="B3" s="18" t="str">
        <f>ΓΕΝΙΚΑ!C4</f>
        <v>CYTA</v>
      </c>
      <c r="C3" s="95" t="s">
        <v>434</v>
      </c>
      <c r="D3" s="218"/>
      <c r="E3" s="218"/>
      <c r="F3" s="291" t="s">
        <v>941</v>
      </c>
      <c r="G3" s="239"/>
      <c r="H3" s="60" t="s">
        <v>484</v>
      </c>
      <c r="I3" s="145">
        <f>$I$5</f>
        <v>0.15</v>
      </c>
      <c r="J3" s="269">
        <f>IF(ISNUMBER(I$5),ROUND(I$5,2),"")</f>
        <v>0.15</v>
      </c>
      <c r="K3" s="243"/>
      <c r="M3" s="98" t="str">
        <f>IF(N3="","","ΣΦΑΛΜΑ")</f>
        <v/>
      </c>
      <c r="N3" s="99" t="str">
        <f>CONCATENATE(IF(AND(ISNUMBER(I3)=FALSE),"Το Ποσοστό Αποτυχημένων Κλήσεων πρέπει να είναι αριθμός.",IF(OR(I3&lt;0,I3&gt;100),"Η τιμή του ποσοστού πρέπει να είναι από 0 έως 100","")),IF(AND(I3&lt;&gt;"",F3=""),"   |   Το ΤΚ στο οποίο πραγματοποιήθηκαν μετρήσεις πρέπει να συμπληρωθεί",""),"")</f>
        <v/>
      </c>
    </row>
    <row r="4" spans="1:14" ht="30" customHeight="1" x14ac:dyDescent="0.25">
      <c r="A4" s="89" t="str">
        <f>$A$3</f>
        <v>B03</v>
      </c>
      <c r="B4" s="90" t="str">
        <f>$B$3</f>
        <v>CYTA</v>
      </c>
      <c r="C4" s="94" t="str">
        <f>$C$3</f>
        <v>Άμεση</v>
      </c>
      <c r="D4" s="218"/>
      <c r="E4" s="218"/>
      <c r="F4" s="292" t="s">
        <v>933</v>
      </c>
      <c r="G4" s="239"/>
      <c r="H4" s="60" t="str">
        <f t="shared" ref="H4" si="0">$H$3</f>
        <v>Εθνικές</v>
      </c>
      <c r="I4" s="142">
        <f>$I$5</f>
        <v>0.15</v>
      </c>
      <c r="J4" s="269">
        <f t="shared" ref="J4:J7" si="1">IF(ISNUMBER(I$5),ROUND(I$5,2),"")</f>
        <v>0.15</v>
      </c>
      <c r="K4" s="244">
        <f>$K$3</f>
        <v>0</v>
      </c>
      <c r="M4" s="100" t="str">
        <f t="shared" ref="M4:M12" si="2">IF(N4="","","ΣΦΑΛΜΑ")</f>
        <v/>
      </c>
      <c r="N4" s="99" t="str">
        <f>CONCATENATE(IF(AND(ISNUMBER(I4)=FALSE),"Το Ποσοστό Αποτυχημένων Κλήσεων πρέπει να είναι αριθμός.",IF(OR(I4&lt;0,I4&gt;100),"Η τιμή του ποσοστού πρέπει να είναι από 0 έως 100","")),"")</f>
        <v/>
      </c>
    </row>
    <row r="5" spans="1:14" ht="30" customHeight="1" x14ac:dyDescent="0.25">
      <c r="A5" s="89" t="str">
        <f>$A$3</f>
        <v>B03</v>
      </c>
      <c r="B5" s="90" t="str">
        <f t="shared" ref="B5:B12" si="3">$B$3</f>
        <v>CYTA</v>
      </c>
      <c r="C5" s="94" t="str">
        <f t="shared" ref="C5:C12" si="4">$C$3</f>
        <v>Άμεση</v>
      </c>
      <c r="D5" s="218">
        <v>15300</v>
      </c>
      <c r="E5" s="218" t="s">
        <v>552</v>
      </c>
      <c r="F5" s="293" t="s">
        <v>942</v>
      </c>
      <c r="G5" s="239" t="str">
        <f>CONCATENATE(F3,", ",F4,", ",F5,", ",F6,", ",F7)</f>
        <v>ΑΤΤΙΚΗΣ - ΑΘΗΝΑΙΩΝ, ΚΡΗΤΗΣ - ΗΡΑΚΛΕΙΟΥ, ΚΕΝΤΡΙΚΗΣ ΜΑΚΕΔΟΝΙΑΣ - ΠΕΛΛΑΣ, ΔΥΤΙΚΗΣ ΜΑΚΕΔΟΝΙΑΣ - ΟΡΕΣΤΙΔΟΣ, ΚΕΝΤΡΙΚΗΣ ΜΑΚΕΔΟΝΙΑΣ - ΠΥΛΑΙΑΣ – ΧΟΡΤΙΑΤΗ</v>
      </c>
      <c r="H5" s="60" t="str">
        <f>$H$3</f>
        <v>Εθνικές</v>
      </c>
      <c r="I5" s="97">
        <v>0.15</v>
      </c>
      <c r="J5" s="269">
        <f t="shared" si="1"/>
        <v>0.15</v>
      </c>
      <c r="K5" s="245">
        <f t="shared" ref="K5:K12" si="5">$K$3</f>
        <v>0</v>
      </c>
      <c r="M5" s="100" t="str">
        <f t="shared" si="2"/>
        <v/>
      </c>
      <c r="N5" s="99" t="str">
        <f>CONCATENATE(IF(AND(ISNUMBER(I5)=FALSE),"Το Ποσοστό Αποτυχημένων Κλήσεων πρέπει να είναι αριθμός.",IF(OR(I5&lt;0,I5&gt;100),"Η τιμή του ποσοστού πρέπει να είναι από 0 έως 100","")),"")</f>
        <v/>
      </c>
    </row>
    <row r="6" spans="1:14" ht="30" customHeight="1" x14ac:dyDescent="0.25">
      <c r="A6" s="89" t="str">
        <f t="shared" ref="A6:A12" si="6">$A$3</f>
        <v>B03</v>
      </c>
      <c r="B6" s="90" t="str">
        <f t="shared" si="3"/>
        <v>CYTA</v>
      </c>
      <c r="C6" s="94" t="str">
        <f t="shared" si="4"/>
        <v>Άμεση</v>
      </c>
      <c r="D6" s="218"/>
      <c r="E6" s="218"/>
      <c r="F6" s="292" t="s">
        <v>952</v>
      </c>
      <c r="G6" s="239"/>
      <c r="H6" s="60" t="str">
        <f t="shared" ref="H6:H7" si="7">$H$3</f>
        <v>Εθνικές</v>
      </c>
      <c r="I6" s="142">
        <f t="shared" ref="I6:I7" si="8">$I$5</f>
        <v>0.15</v>
      </c>
      <c r="J6" s="269">
        <f t="shared" si="1"/>
        <v>0.15</v>
      </c>
      <c r="K6" s="245">
        <f t="shared" si="5"/>
        <v>0</v>
      </c>
      <c r="M6" s="100" t="str">
        <f t="shared" si="2"/>
        <v/>
      </c>
      <c r="N6" s="99" t="str">
        <f>CONCATENATE(IF(AND(ISNUMBER(I6)=FALSE),"Το Ποσοστό Αποτυχημένων Κλήσεων πρέπει να είναι αριθμός.",IF(OR(I6&lt;0,I6&gt;100),"Η τιμή του ποσοστού πρέπει να είναι από 0 έως 100","")),"")</f>
        <v/>
      </c>
    </row>
    <row r="7" spans="1:14" ht="30" customHeight="1" thickBot="1" x14ac:dyDescent="0.3">
      <c r="A7" s="89" t="str">
        <f t="shared" si="6"/>
        <v>B03</v>
      </c>
      <c r="B7" s="91" t="str">
        <f t="shared" si="3"/>
        <v>CYTA</v>
      </c>
      <c r="C7" s="94" t="str">
        <f t="shared" si="4"/>
        <v>Άμεση</v>
      </c>
      <c r="D7" s="218"/>
      <c r="E7" s="218"/>
      <c r="F7" s="294" t="s">
        <v>943</v>
      </c>
      <c r="G7" s="82"/>
      <c r="H7" s="82" t="str">
        <f t="shared" si="7"/>
        <v>Εθνικές</v>
      </c>
      <c r="I7" s="143">
        <f t="shared" si="8"/>
        <v>0.15</v>
      </c>
      <c r="J7" s="269">
        <f t="shared" si="1"/>
        <v>0.15</v>
      </c>
      <c r="K7" s="245">
        <f t="shared" si="5"/>
        <v>0</v>
      </c>
      <c r="M7" s="100" t="str">
        <f t="shared" si="2"/>
        <v/>
      </c>
      <c r="N7" s="99" t="str">
        <f>CONCATENATE(IF(AND(ISNUMBER(I7)=FALSE),"Το Ποσοστό Αποτυχημένων Κλήσεων πρέπει να είναι αριθμός.",IF(OR(I7&lt;0,I7&gt;100),"Η τιμή του ποσοστού πρέπει να είναι από 0 έως 100","")),"")</f>
        <v/>
      </c>
    </row>
    <row r="8" spans="1:14" ht="30" customHeight="1" x14ac:dyDescent="0.25">
      <c r="A8" s="89" t="str">
        <f t="shared" si="6"/>
        <v>B03</v>
      </c>
      <c r="B8" s="90" t="str">
        <f t="shared" si="3"/>
        <v>CYTA</v>
      </c>
      <c r="C8" s="94" t="str">
        <f t="shared" si="4"/>
        <v>Άμεση</v>
      </c>
      <c r="D8" s="218"/>
      <c r="E8" s="218"/>
      <c r="F8" s="295" t="str">
        <f>TEXT(F3,)</f>
        <v>ΑΤΤΙΚΗΣ - ΑΘΗΝΑΙΩΝ</v>
      </c>
      <c r="G8" s="239"/>
      <c r="H8" s="60" t="s">
        <v>485</v>
      </c>
      <c r="I8" s="142">
        <f>$I$10</f>
        <v>0.13</v>
      </c>
      <c r="J8" s="269">
        <f>IF(ISNUMBER(I$10),ROUND(I$10,2),"")</f>
        <v>0.13</v>
      </c>
      <c r="K8" s="245">
        <f t="shared" si="5"/>
        <v>0</v>
      </c>
      <c r="M8" s="100" t="str">
        <f t="shared" si="2"/>
        <v/>
      </c>
      <c r="N8" s="99" t="str">
        <f>CONCATENATE(IF(AND(ISNUMBER(I8)=FALSE),"Το Ποσοστό Αποτυχημένων Κλήσεων πρέπει να είναι αριθμός.",IF(OR(I8&lt;0,I8&gt;100),"Η τιμή του ποσοστού πρέπει να είναι από 0 έως 100","")),IF(AND(I8&lt;&gt;"",F8=""),"   |   Το ΤΚ στο οποίο πραγματοποιήθηκαν μετρήσεις πρέπει να συμπληρωθεί",""),"")</f>
        <v/>
      </c>
    </row>
    <row r="9" spans="1:14" ht="30" customHeight="1" x14ac:dyDescent="0.25">
      <c r="A9" s="89" t="str">
        <f t="shared" si="6"/>
        <v>B03</v>
      </c>
      <c r="B9" s="90" t="str">
        <f t="shared" si="3"/>
        <v>CYTA</v>
      </c>
      <c r="C9" s="94" t="str">
        <f t="shared" si="4"/>
        <v>Άμεση</v>
      </c>
      <c r="D9" s="218"/>
      <c r="E9" s="218"/>
      <c r="F9" s="295" t="str">
        <f t="shared" ref="F9:F12" si="9">TEXT(F4,)</f>
        <v>ΚΡΗΤΗΣ - ΗΡΑΚΛΕΙΟΥ</v>
      </c>
      <c r="G9" s="239"/>
      <c r="H9" s="60" t="str">
        <f>$H$8</f>
        <v>Διεθνείς</v>
      </c>
      <c r="I9" s="142">
        <f>$I$10</f>
        <v>0.13</v>
      </c>
      <c r="J9" s="269">
        <f t="shared" ref="J9:J12" si="10">IF(ISNUMBER(I$10),ROUND(I$10,2),"")</f>
        <v>0.13</v>
      </c>
      <c r="K9" s="245">
        <f t="shared" si="5"/>
        <v>0</v>
      </c>
      <c r="M9" s="100" t="str">
        <f t="shared" si="2"/>
        <v/>
      </c>
      <c r="N9" s="99" t="str">
        <f>CONCATENATE(IF(AND(ISNUMBER(I9)=FALSE),"Το Ποσοστό Αποτυχημένων Κλήσεων πρέπει να είναι αριθμός.",IF(OR(I9&lt;0,I9&gt;100),"Η τιμή του ποσοστού πρέπει να είναι από 0 έως 100","")),"")</f>
        <v/>
      </c>
    </row>
    <row r="10" spans="1:14" ht="30" customHeight="1" x14ac:dyDescent="0.25">
      <c r="A10" s="89" t="str">
        <f t="shared" si="6"/>
        <v>B03</v>
      </c>
      <c r="B10" s="90" t="str">
        <f t="shared" si="3"/>
        <v>CYTA</v>
      </c>
      <c r="C10" s="94" t="str">
        <f t="shared" si="4"/>
        <v>Άμεση</v>
      </c>
      <c r="D10" s="218">
        <v>15300</v>
      </c>
      <c r="E10" s="218" t="s">
        <v>552</v>
      </c>
      <c r="F10" s="295" t="str">
        <f t="shared" si="9"/>
        <v>ΚΕΝΤΡΙΚΗΣ ΜΑΚΕΔΟΝΙΑΣ - ΠΕΛΛΑΣ</v>
      </c>
      <c r="G10" s="239" t="str">
        <f>G5</f>
        <v>ΑΤΤΙΚΗΣ - ΑΘΗΝΑΙΩΝ, ΚΡΗΤΗΣ - ΗΡΑΚΛΕΙΟΥ, ΚΕΝΤΡΙΚΗΣ ΜΑΚΕΔΟΝΙΑΣ - ΠΕΛΛΑΣ, ΔΥΤΙΚΗΣ ΜΑΚΕΔΟΝΙΑΣ - ΟΡΕΣΤΙΔΟΣ, ΚΕΝΤΡΙΚΗΣ ΜΑΚΕΔΟΝΙΑΣ - ΠΥΛΑΙΑΣ – ΧΟΡΤΙΑΤΗ</v>
      </c>
      <c r="H10" s="60" t="str">
        <f t="shared" ref="H10:H12" si="11">$H$8</f>
        <v>Διεθνείς</v>
      </c>
      <c r="I10" s="97">
        <v>0.13</v>
      </c>
      <c r="J10" s="269">
        <f t="shared" si="10"/>
        <v>0.13</v>
      </c>
      <c r="K10" s="245">
        <f t="shared" si="5"/>
        <v>0</v>
      </c>
      <c r="M10" s="100" t="str">
        <f t="shared" si="2"/>
        <v/>
      </c>
      <c r="N10" s="99" t="str">
        <f>CONCATENATE(IF(AND(ISNUMBER(I10)=FALSE),"Το Ποσοστό Αποτυχημένων Κλήσεων πρέπει να είναι αριθμός.",IF(OR(I10&lt;0,I10&gt;100),"Η τιμή του ποσοστού πρέπει να είναι από 0 έως 100","")),"")</f>
        <v/>
      </c>
    </row>
    <row r="11" spans="1:14" ht="30" customHeight="1" x14ac:dyDescent="0.25">
      <c r="A11" s="89" t="str">
        <f t="shared" si="6"/>
        <v>B03</v>
      </c>
      <c r="B11" s="92" t="str">
        <f t="shared" si="3"/>
        <v>CYTA</v>
      </c>
      <c r="C11" s="94" t="str">
        <f t="shared" si="4"/>
        <v>Άμεση</v>
      </c>
      <c r="D11" s="218"/>
      <c r="E11" s="218"/>
      <c r="F11" s="296" t="str">
        <f t="shared" si="9"/>
        <v>ΔΥΤΙΚΗΣ ΜΑΚΕΔΟΝΙΑΣ - ΟΡΕΣΤΙΔΟΣ</v>
      </c>
      <c r="G11" s="75"/>
      <c r="H11" s="75" t="str">
        <f t="shared" si="11"/>
        <v>Διεθνείς</v>
      </c>
      <c r="I11" s="142">
        <f t="shared" ref="I11:I12" si="12">$I$10</f>
        <v>0.13</v>
      </c>
      <c r="J11" s="269">
        <f t="shared" si="10"/>
        <v>0.13</v>
      </c>
      <c r="K11" s="245">
        <f t="shared" si="5"/>
        <v>0</v>
      </c>
      <c r="M11" s="100" t="str">
        <f t="shared" si="2"/>
        <v/>
      </c>
      <c r="N11" s="99" t="str">
        <f>CONCATENATE(IF(AND(ISNUMBER(I11)=FALSE),"Το Ποσοστό Αποτυχημένων Κλήσεων πρέπει να είναι αριθμός.",IF(OR(I11&lt;0,I11&gt;100),"Η τιμή του ποσοστού πρέπει να είναι από 0 έως 100","")),"")</f>
        <v/>
      </c>
    </row>
    <row r="12" spans="1:14" ht="30" customHeight="1" thickBot="1" x14ac:dyDescent="0.3">
      <c r="A12" s="79" t="str">
        <f t="shared" si="6"/>
        <v>B03</v>
      </c>
      <c r="B12" s="93" t="str">
        <f t="shared" si="3"/>
        <v>CYTA</v>
      </c>
      <c r="C12" s="81" t="str">
        <f t="shared" si="4"/>
        <v>Άμεση</v>
      </c>
      <c r="D12" s="218"/>
      <c r="E12" s="218"/>
      <c r="F12" s="297" t="str">
        <f t="shared" si="9"/>
        <v>ΚΕΝΤΡΙΚΗΣ ΜΑΚΕΔΟΝΙΑΣ - ΠΥΛΑΙΑΣ – ΧΟΡΤΙΑΤΗ</v>
      </c>
      <c r="G12" s="290"/>
      <c r="H12" s="105" t="str">
        <f t="shared" si="11"/>
        <v>Διεθνείς</v>
      </c>
      <c r="I12" s="144">
        <f t="shared" si="12"/>
        <v>0.13</v>
      </c>
      <c r="J12" s="269">
        <f t="shared" si="10"/>
        <v>0.13</v>
      </c>
      <c r="K12" s="246">
        <f t="shared" si="5"/>
        <v>0</v>
      </c>
      <c r="M12" s="101" t="str">
        <f t="shared" si="2"/>
        <v/>
      </c>
      <c r="N12" s="102" t="str">
        <f>CONCATENATE(IF(AND(ISNUMBER(I12)=FALSE),"Το Ποσοστό Αποτυχημένων Κλήσεων πρέπει να είναι αριθμός.",IF(OR(I12&lt;0,I12&gt;100),"Η τιμή του ποσοστού πρέπει να είναι από 0 έως 100","")),"")</f>
        <v/>
      </c>
    </row>
  </sheetData>
  <sheetProtection algorithmName="SHA-512" hashValue="oSxwgobWyIXmXecg/eNGeWYJW4xkjybElh0O7u8/E+dWzhzNhRU58Zt0UsQPzMlJ2v2Hw10/KUVpt36Nev3nUQ==" saltValue="5/erohRfPyCbnNSnbE2Shg==" spinCount="100000" sheet="1" objects="1" scenarios="1" formatColumns="0" formatRows="0" selectLockedCells="1"/>
  <conditionalFormatting sqref="M3:M12">
    <cfRule type="cellIs" dxfId="5" priority="1" operator="equal">
      <formula>"ΣΦΑΛΜΑ"</formula>
    </cfRule>
  </conditionalFormatting>
  <dataValidations count="3">
    <dataValidation type="list" allowBlank="1" showInputMessage="1" showErrorMessage="1" sqref="C3:C11">
      <formula1>ServiceType</formula1>
    </dataValidation>
    <dataValidation type="list" allowBlank="1" showInputMessage="1" showErrorMessage="1" sqref="H3:H12">
      <formula1>CallType</formula1>
    </dataValidation>
    <dataValidation type="list" allowBlank="1" showInputMessage="1" showErrorMessage="1" sqref="F3:F7">
      <formula1>TK</formula1>
    </dataValidation>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6"/>
  <sheetViews>
    <sheetView topLeftCell="C2" workbookViewId="0">
      <selection activeCell="M5" sqref="M5"/>
    </sheetView>
  </sheetViews>
  <sheetFormatPr defaultColWidth="0" defaultRowHeight="15" zeroHeight="1" x14ac:dyDescent="0.25"/>
  <cols>
    <col min="1" max="1" width="50" style="174" customWidth="1"/>
    <col min="2" max="2" width="23" style="174" hidden="1" customWidth="1"/>
    <col min="3" max="3" width="23" style="174" customWidth="1"/>
    <col min="4" max="4" width="33.28515625" style="174" customWidth="1"/>
    <col min="5" max="6" width="33.28515625" style="174" hidden="1" customWidth="1"/>
    <col min="7" max="7" width="41.85546875" style="174" customWidth="1"/>
    <col min="8" max="8" width="23" style="174" customWidth="1"/>
    <col min="9" max="9" width="16" style="174" customWidth="1"/>
    <col min="10" max="10" width="32" style="174" customWidth="1"/>
    <col min="11" max="12" width="23.7109375" style="174" hidden="1" customWidth="1"/>
    <col min="13" max="13" width="17.28515625" style="174" customWidth="1"/>
    <col min="14" max="14" width="40.42578125" style="174" customWidth="1"/>
    <col min="15" max="15" width="6.28515625" style="181" customWidth="1"/>
    <col min="16" max="16" width="13.42578125" style="174" customWidth="1"/>
    <col min="17" max="17" width="69.85546875" style="174" customWidth="1"/>
    <col min="18" max="18" width="56.42578125" style="174" hidden="1" customWidth="1"/>
    <col min="19" max="16384" width="9.140625" style="174" hidden="1"/>
  </cols>
  <sheetData>
    <row r="1" spans="1:17" ht="15.75" hidden="1" customHeight="1" thickBot="1" x14ac:dyDescent="0.3">
      <c r="A1" t="s">
        <v>502</v>
      </c>
      <c r="B1" t="s">
        <v>501</v>
      </c>
      <c r="C1" s="83" t="s">
        <v>503</v>
      </c>
      <c r="D1" s="83" t="s">
        <v>507</v>
      </c>
      <c r="E1" s="2" t="s">
        <v>900</v>
      </c>
      <c r="F1" s="2" t="s">
        <v>901</v>
      </c>
      <c r="G1" s="2" t="s">
        <v>506</v>
      </c>
      <c r="H1" s="2" t="s">
        <v>505</v>
      </c>
      <c r="I1" s="83" t="s">
        <v>516</v>
      </c>
      <c r="J1" s="76" t="s">
        <v>516</v>
      </c>
      <c r="K1" s="83" t="s">
        <v>517</v>
      </c>
      <c r="L1" t="s">
        <v>518</v>
      </c>
      <c r="M1" t="s">
        <v>519</v>
      </c>
      <c r="N1" t="s">
        <v>509</v>
      </c>
      <c r="P1" s="76" t="s">
        <v>516</v>
      </c>
      <c r="Q1" s="76" t="s">
        <v>516</v>
      </c>
    </row>
    <row r="2" spans="1:17" ht="45" customHeight="1" thickBot="1" x14ac:dyDescent="0.3">
      <c r="A2" s="3" t="s">
        <v>422</v>
      </c>
      <c r="B2" s="4" t="s">
        <v>28</v>
      </c>
      <c r="C2" s="4" t="s">
        <v>433</v>
      </c>
      <c r="D2" s="4" t="s">
        <v>920</v>
      </c>
      <c r="E2" s="4"/>
      <c r="F2" s="4"/>
      <c r="G2" s="4" t="s">
        <v>553</v>
      </c>
      <c r="H2" s="4" t="s">
        <v>554</v>
      </c>
      <c r="I2" s="4" t="s">
        <v>461</v>
      </c>
      <c r="J2" s="4" t="s">
        <v>555</v>
      </c>
      <c r="K2" s="85" t="s">
        <v>429</v>
      </c>
      <c r="L2" s="85" t="s">
        <v>520</v>
      </c>
      <c r="M2" s="85" t="s">
        <v>423</v>
      </c>
      <c r="N2" s="96" t="s">
        <v>421</v>
      </c>
      <c r="O2" s="182"/>
      <c r="P2" s="125" t="s">
        <v>452</v>
      </c>
      <c r="Q2" s="107" t="s">
        <v>550</v>
      </c>
    </row>
    <row r="3" spans="1:17" ht="42.75" customHeight="1" thickTop="1" x14ac:dyDescent="0.25">
      <c r="A3" s="77" t="s">
        <v>460</v>
      </c>
      <c r="B3" s="78" t="str">
        <f>ΓΕΝΙΚΑ!C4</f>
        <v>CYTA</v>
      </c>
      <c r="C3" s="184" t="s">
        <v>434</v>
      </c>
      <c r="D3" s="122">
        <v>1</v>
      </c>
      <c r="E3" s="212">
        <f>IF(P3="",IF(ΓΕΝΙΚΑ!$B$19="ΝΑΙ",_xlfn.IFNA(INDEX(OrchardIDnai,MATCH(G3,DimosNameNai,0)),""),""),"")</f>
        <v>14426</v>
      </c>
      <c r="F3" s="212" t="str">
        <f>IF(ΓΕΝΙΚΑ!$B$19="ΝΑΙ",_xlfn.IFNA(INDEX(OrchardNameNai,MATCH(G3,DimosNameNai,0)),""),"")</f>
        <v>Πυλαίας - Χορτιάτη</v>
      </c>
      <c r="G3" s="130" t="s">
        <v>943</v>
      </c>
      <c r="H3" s="117" t="s">
        <v>445</v>
      </c>
      <c r="I3" s="132" t="s">
        <v>432</v>
      </c>
      <c r="J3" s="132"/>
      <c r="K3" s="185" t="str">
        <f>IF(I3="","",IF(I3="Άλλο",IF(J3="","",J3),TEXT(I3,)))</f>
        <v>VoIP</v>
      </c>
      <c r="L3" s="121">
        <f t="shared" ref="L3" si="0">IF(M3="ΠΟΛΥ ΥΨΗΛΗ", 5,IF(M3="ΥΨΗΛΗ",4,IF(M3="ΜΕΣΗ",3,IF(M3="ΧΑΜΗΛΗ",2,IF(M3="ΠΟΛΥ ΧΑΜΗΛΗ",1,0)))))</f>
        <v>4</v>
      </c>
      <c r="M3" s="132" t="s">
        <v>425</v>
      </c>
      <c r="N3" s="190"/>
      <c r="O3" s="183"/>
      <c r="P3" s="126" t="str">
        <f t="shared" ref="P3:P6" si="1">IF(Q3="","","ΣΦΑΛΜΑ")</f>
        <v/>
      </c>
      <c r="Q3" s="147" t="str">
        <f>CONCATENATE(IF(G3="","Το πεδίο ΤΚ Τερματικό Σημείο, δεν μπορεί να είναι κενό",""),IF(K3=""," | Πρέπει να επιλεγεί ο Τύπος Τερματικής συσκευής",""),IF(M3="","  |  Το πεδίο Ποιότητα δεν μπορεί να είναι κενό",""))</f>
        <v/>
      </c>
    </row>
    <row r="4" spans="1:17" ht="42.75" customHeight="1" x14ac:dyDescent="0.25">
      <c r="A4" s="89" t="e">
        <f>#REF!</f>
        <v>#REF!</v>
      </c>
      <c r="B4" s="120" t="str">
        <f>B3</f>
        <v>CYTA</v>
      </c>
      <c r="C4" s="94" t="str">
        <f>C$3</f>
        <v>Άμεση</v>
      </c>
      <c r="D4" s="123">
        <v>1</v>
      </c>
      <c r="E4" s="213">
        <f>IF(P4="",IF(ΓΕΝΙΚΑ!$B$19="ΝΑΙ",_xlfn.IFNA(INDEX(OrchardIDnai,MATCH(G4,DimosNameNai,0)),""),""),"")</f>
        <v>13946</v>
      </c>
      <c r="F4" s="214" t="str">
        <f>IF(ΓΕΝΙΚΑ!$B$19="ΝΑΙ",_xlfn.IFNA(INDEX(OrchardNameNai,MATCH(G4,DimosNameNai,0)),""),"")</f>
        <v>Αθηναίων</v>
      </c>
      <c r="G4" s="130" t="s">
        <v>941</v>
      </c>
      <c r="H4" s="119" t="s">
        <v>446</v>
      </c>
      <c r="I4" s="7" t="str">
        <f>TEXT(I$3,)</f>
        <v>VoIP</v>
      </c>
      <c r="J4" s="7" t="str">
        <f t="shared" ref="J4" si="2">TEXT(J$3,)</f>
        <v/>
      </c>
      <c r="K4" s="7" t="str">
        <f t="shared" ref="K4:K6" si="3">IF(I4="","",IF(I4="Άλλο",IF(J4="","",J4),TEXT(I4,)))</f>
        <v>VoIP</v>
      </c>
      <c r="L4" s="7">
        <f>IF(M4="ΠΟΛΥ ΥΨΗΛΗ", 5,IF(M4="ΥΨΗΛΗ",4,IF(M4="ΜΕΣΗ",3,IF(M4="ΧΑΜΗΛΗ",2,IF(M4="ΠΟΛΥ ΧΑΜΗΛΗ",1,0)))))</f>
        <v>4</v>
      </c>
      <c r="M4" s="62" t="str">
        <f>TEXT(M$3,)</f>
        <v>ΥΨΗΛΗ</v>
      </c>
      <c r="N4" s="249" t="e">
        <f>#REF!</f>
        <v>#REF!</v>
      </c>
      <c r="O4" s="183"/>
      <c r="P4" s="126" t="str">
        <f t="shared" si="1"/>
        <v/>
      </c>
      <c r="Q4" s="147" t="str">
        <f>CONCATENATE(IF(G4="","Το πεδίο ΤΚ Τερματικό Σημείο, δεν μπορεί να είναι κενό",""),IF(K4=""," | Πρέπει να επιλεγεί ο Τύπος Τερματικής συσκευής",""),IF(M4="","  |  Το πεδίο Ποιότητα δεν μπορεί να είναι κενό",""))</f>
        <v/>
      </c>
    </row>
    <row r="5" spans="1:17" ht="42.75" customHeight="1" x14ac:dyDescent="0.25">
      <c r="A5" s="89" t="e">
        <f>#REF!</f>
        <v>#REF!</v>
      </c>
      <c r="B5" s="120" t="str">
        <f>B3</f>
        <v>CYTA</v>
      </c>
      <c r="C5" s="141" t="str">
        <f t="shared" ref="C5:C6" si="4">C$3</f>
        <v>Άμεση</v>
      </c>
      <c r="D5" s="133">
        <v>2</v>
      </c>
      <c r="E5" s="213">
        <f>IF(P5="",IF(ΓΕΝΙΚΑ!$B$19="ΝΑΙ",_xlfn.IFNA(INDEX(OrchardIDnai,MATCH(G5,DimosNameNai,0)),""),""),"")</f>
        <v>13946</v>
      </c>
      <c r="F5" s="214" t="str">
        <f>IF(ΓΕΝΙΚΑ!$B$19="ΝΑΙ",_xlfn.IFNA(INDEX(OrchardNameNai,MATCH(G5,DimosNameNai,0)),""),"")</f>
        <v>Αθηναίων</v>
      </c>
      <c r="G5" s="130" t="s">
        <v>941</v>
      </c>
      <c r="H5" s="194" t="s">
        <v>445</v>
      </c>
      <c r="I5" s="192" t="s">
        <v>432</v>
      </c>
      <c r="J5" s="192"/>
      <c r="K5" s="193" t="str">
        <f t="shared" si="3"/>
        <v>VoIP</v>
      </c>
      <c r="L5" s="61">
        <f t="shared" ref="L5:L6" si="5">IF(M5="ΠΟΛΥ ΥΨΗΛΗ", 5,IF(M5="ΥΨΗΛΗ",4,IF(M5="ΜΕΣΗ",3,IF(M5="ΧΑΜΗΛΗ",2,IF(M5="ΠΟΛΥ ΧΑΜΗΛΗ",1,0)))))</f>
        <v>4</v>
      </c>
      <c r="M5" s="192" t="s">
        <v>425</v>
      </c>
      <c r="N5" s="249" t="e">
        <f>#REF!</f>
        <v>#REF!</v>
      </c>
      <c r="O5" s="183"/>
      <c r="P5" s="126" t="str">
        <f t="shared" si="1"/>
        <v/>
      </c>
      <c r="Q5" s="147" t="str">
        <f>IF(D5=2,CONCATENATE(IF(G5="","Το πεδίο ΤΚ Τερματικό Σημείο, δεν μπορεί να είναι κενό",""),IF(K5=""," | Πρέπει να επιλεγεί ο Τύπος Τερματικής συσκευής",""),IF(M5="","  |  Το πεδίο Ποιότητα δεν μπορεί να είναι κενό",""),IF(D5="","  |  O Α/Α Πακέτου πρέπει να επιλεγεί '2'","")),"")</f>
        <v/>
      </c>
    </row>
    <row r="6" spans="1:17" ht="42.75" customHeight="1" thickBot="1" x14ac:dyDescent="0.3">
      <c r="A6" s="79" t="e">
        <f>#REF!</f>
        <v>#REF!</v>
      </c>
      <c r="B6" s="80" t="str">
        <f>B3</f>
        <v>CYTA</v>
      </c>
      <c r="C6" s="81" t="str">
        <f t="shared" si="4"/>
        <v>Άμεση</v>
      </c>
      <c r="D6" s="124">
        <f t="shared" ref="D6" si="6">IF(ISNUMBER($D$5),$D$5,"")</f>
        <v>2</v>
      </c>
      <c r="E6" s="213">
        <f>IF(P6="",IF(ΓΕΝΙΚΑ!$B$19="ΝΑΙ",_xlfn.IFNA(INDEX(OrchardIDnai,MATCH(G6,DimosNameNai,0)),""),""),"")</f>
        <v>13946</v>
      </c>
      <c r="F6" s="215" t="str">
        <f>IF(ΓΕΝΙΚΑ!$B$19="ΝΑΙ",_xlfn.IFNA(INDEX(OrchardNameNai,MATCH(G6,DimosNameNai,0)),""),"")</f>
        <v>Αθηναίων</v>
      </c>
      <c r="G6" s="131" t="s">
        <v>941</v>
      </c>
      <c r="H6" s="118" t="s">
        <v>446</v>
      </c>
      <c r="I6" s="129" t="str">
        <f>TEXT(I$5,)</f>
        <v>VoIP</v>
      </c>
      <c r="J6" s="12" t="str">
        <f t="shared" ref="J6" si="7">TEXT(J$5,)</f>
        <v/>
      </c>
      <c r="K6" s="12" t="str">
        <f t="shared" si="3"/>
        <v>VoIP</v>
      </c>
      <c r="L6" s="12">
        <f t="shared" si="5"/>
        <v>4</v>
      </c>
      <c r="M6" s="128" t="str">
        <f>TEXT(M$5,)</f>
        <v>ΥΨΗΛΗ</v>
      </c>
      <c r="N6" s="250" t="e">
        <f>#REF!</f>
        <v>#REF!</v>
      </c>
      <c r="O6" s="183"/>
      <c r="P6" s="127" t="str">
        <f t="shared" si="1"/>
        <v/>
      </c>
      <c r="Q6" s="191" t="str">
        <f>IF(D6=2,CONCATENATE(IF(K6="","Πρέπει να επιλεγεί ο Τύπος Τερματικής συσκευής",""),IF(M6="","  |  Το πεδίο Ποιότητα δεν μπορεί να είναι κενό",""),IF(D6="0","  |  O Α/Α Πακέτου πρέπει να επιλεγεί '2'","")),"")</f>
        <v/>
      </c>
    </row>
  </sheetData>
  <sheetProtection algorithmName="SHA-512" hashValue="pt1JutcZOjiBMmfhsVrp+sMKlQVaILZ24+6beMs8hB/ptyN00yHq6IvIZ+rYw1DtRmKWbvQqEOlTwTQT9ojPFw==" saltValue="r/ZGCASwlRWcm6FYeExgEA==" spinCount="100000" sheet="1" objects="1" scenarios="1" formatColumns="0" formatRows="0" selectLockedCells="1"/>
  <dataConsolidate/>
  <conditionalFormatting sqref="P3:P6">
    <cfRule type="cellIs" dxfId="4" priority="1" operator="equal">
      <formula>"ΣΦΑΛΜΑ"</formula>
    </cfRule>
  </conditionalFormatting>
  <dataValidations count="6">
    <dataValidation type="list" allowBlank="1" showInputMessage="1" showErrorMessage="1" sqref="C3">
      <formula1>ServiceType</formula1>
    </dataValidation>
    <dataValidation type="list" allowBlank="1" showInputMessage="1" showErrorMessage="1" sqref="I5 I3">
      <formula1>POTS</formula1>
    </dataValidation>
    <dataValidation type="list" allowBlank="1" showInputMessage="1" showErrorMessage="1" sqref="M5 M3">
      <formula1>Quality</formula1>
    </dataValidation>
    <dataValidation type="list" allowBlank="1" showInputMessage="1" showErrorMessage="1" sqref="D5 D3">
      <formula1>Packet</formula1>
    </dataValidation>
    <dataValidation type="list" allowBlank="1" showInputMessage="1" showErrorMessage="1" sqref="H3:H6">
      <formula1>Direction_</formula1>
    </dataValidation>
    <dataValidation type="list" allowBlank="1" showInputMessage="1" showErrorMessage="1" sqref="G3:G6">
      <formula1>TK</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14</vt:i4>
      </vt:variant>
      <vt:variant>
        <vt:lpstr>Περιοχές με ονόματα</vt:lpstr>
      </vt:variant>
      <vt:variant>
        <vt:i4>32</vt:i4>
      </vt:variant>
    </vt:vector>
  </HeadingPairs>
  <TitlesOfParts>
    <vt:vector size="46" baseType="lpstr">
      <vt:lpstr>ΓΕΝΙΚΑ</vt:lpstr>
      <vt:lpstr>ΠΕΡΙΦΕΡΕΙΑ</vt:lpstr>
      <vt:lpstr>ΔΗΜΟΣ</vt:lpstr>
      <vt:lpstr>ΤΚ</vt:lpstr>
      <vt:lpstr>ΤΚ ΜΕΤΡΗΣΕΩΝ B01</vt:lpstr>
      <vt:lpstr>B01</vt:lpstr>
      <vt:lpstr>B02</vt:lpstr>
      <vt:lpstr>B03</vt:lpstr>
      <vt:lpstr>B04</vt:lpstr>
      <vt:lpstr>B05</vt:lpstr>
      <vt:lpstr>B06</vt:lpstr>
      <vt:lpstr>B07</vt:lpstr>
      <vt:lpstr>B08</vt:lpstr>
      <vt:lpstr>Lists</vt:lpstr>
      <vt:lpstr>CallType</vt:lpstr>
      <vt:lpstr>Coverage.Type.</vt:lpstr>
      <vt:lpstr>DimosCoverage</vt:lpstr>
      <vt:lpstr>DimosNai</vt:lpstr>
      <vt:lpstr>DimosNaiOxi</vt:lpstr>
      <vt:lpstr>DimosNameNai</vt:lpstr>
      <vt:lpstr>dimosSN</vt:lpstr>
      <vt:lpstr>dimosSNnai</vt:lpstr>
      <vt:lpstr>Direction_</vt:lpstr>
      <vt:lpstr>level.</vt:lpstr>
      <vt:lpstr>maxDown</vt:lpstr>
      <vt:lpstr>maxUp</vt:lpstr>
      <vt:lpstr>MeasTK</vt:lpstr>
      <vt:lpstr>Operators.</vt:lpstr>
      <vt:lpstr>OrchardID</vt:lpstr>
      <vt:lpstr>OrchardIDnai</vt:lpstr>
      <vt:lpstr>OrchardName</vt:lpstr>
      <vt:lpstr>OrchardNameNai</vt:lpstr>
      <vt:lpstr>Packet</vt:lpstr>
      <vt:lpstr>Perifereies.</vt:lpstr>
      <vt:lpstr>Period.</vt:lpstr>
      <vt:lpstr>POTS</vt:lpstr>
      <vt:lpstr>Quality</vt:lpstr>
      <vt:lpstr>Semester</vt:lpstr>
      <vt:lpstr>ServiceType</vt:lpstr>
      <vt:lpstr>SpeedValue</vt:lpstr>
      <vt:lpstr>SubmitKML</vt:lpstr>
      <vt:lpstr>submitQI</vt:lpstr>
      <vt:lpstr>Terminals</vt:lpstr>
      <vt:lpstr>TK</vt:lpstr>
      <vt:lpstr>TK1T</vt:lpstr>
      <vt:lpstr>Άμεση</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Nikos Rittas</dc:creator>
  <cp:lastModifiedBy>Giannis Koukoutsidis</cp:lastModifiedBy>
  <dcterms:created xsi:type="dcterms:W3CDTF">2015-03-10T09:10:24Z</dcterms:created>
  <dcterms:modified xsi:type="dcterms:W3CDTF">2018-10-03T07:44:25Z</dcterms:modified>
</cp:coreProperties>
</file>